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6405" activeTab="0"/>
  </bookViews>
  <sheets>
    <sheet name="Hoja1" sheetId="1" r:id="rId1"/>
  </sheets>
  <definedNames>
    <definedName name="_xlnm.Print_Area" localSheetId="0">'Hoja1'!$A$1:$L$110</definedName>
  </definedNames>
  <calcPr fullCalcOnLoad="1"/>
</workbook>
</file>

<file path=xl/comments1.xml><?xml version="1.0" encoding="utf-8"?>
<comments xmlns="http://schemas.openxmlformats.org/spreadsheetml/2006/main">
  <authors>
    <author>BEBA</author>
  </authors>
  <commentList>
    <comment ref="D35" authorId="0">
      <text>
        <r>
          <rPr>
            <b/>
            <sz val="8"/>
            <rFont val="Tahoma"/>
            <family val="0"/>
          </rPr>
          <t>Regla de tres
rollo      yardas
   1            50
   ?                2 = 2 x 1 / 50
Las 2 yardas son las que se necesitan para elaborar 1 pijama.
Se trabajó en rollo porque el costo esta por rollo y la compra y consumo en la información real también está en rollos.  Se puede trabajar en yardas pero hay que tener cuidado que para la cédula de variaciones cuando se trabaje el bies, se convierta a yardas.</t>
        </r>
      </text>
    </comment>
    <comment ref="D37" authorId="0">
      <text>
        <r>
          <rPr>
            <b/>
            <sz val="8"/>
            <rFont val="Tahoma"/>
            <family val="0"/>
          </rPr>
          <t>Regla de tres:
Cono         Pijamas
   1                  60
   ?                    1 = 1 x 1 / 60
Se trabajó en conos por el costo que está en conos y la compra y consumo de la información real. Se puede trabajar en yardas pero hay que tener cuidado que para la cédula de variaciones cuando se trabaje el hilo, se convierta a yardas.</t>
        </r>
      </text>
    </comment>
    <comment ref="E38" authorId="0">
      <text>
        <r>
          <rPr>
            <b/>
            <sz val="8"/>
            <rFont val="Tahoma"/>
            <family val="0"/>
          </rPr>
          <t>Se trabajó el costo en millar y se convirtió la cantidad estándar porque en las compras y consumos aparece en millares, pero también se puede colocar en cantidad std. 1 etiqueta y convertir el costo, siempre teniendo cuidado de hacer lo mismo en la cédula de variaciones</t>
        </r>
      </text>
    </comment>
  </commentList>
</comments>
</file>

<file path=xl/sharedStrings.xml><?xml version="1.0" encoding="utf-8"?>
<sst xmlns="http://schemas.openxmlformats.org/spreadsheetml/2006/main" count="145" uniqueCount="99">
  <si>
    <t>CEDULA DE ELEMENTOS STANDARD</t>
  </si>
  <si>
    <t>CEDULA DE ELEMENTOS REALES</t>
  </si>
  <si>
    <t xml:space="preserve"> </t>
  </si>
  <si>
    <t>días</t>
  </si>
  <si>
    <t>horas</t>
  </si>
  <si>
    <t>obreros x turno</t>
  </si>
  <si>
    <t>horas fábrica</t>
  </si>
  <si>
    <t>horas hombre</t>
  </si>
  <si>
    <t>Producción:</t>
  </si>
  <si>
    <t>unid. Terminada</t>
  </si>
  <si>
    <t>unid. en proceso</t>
  </si>
  <si>
    <t>Producción</t>
  </si>
  <si>
    <t>% del CC</t>
  </si>
  <si>
    <t>unid. equivalentes</t>
  </si>
  <si>
    <t>salarios+bonific</t>
  </si>
  <si>
    <t>C.H.H.M.O.</t>
  </si>
  <si>
    <t>T.N. Producción</t>
  </si>
  <si>
    <t>Gastos de fábrica</t>
  </si>
  <si>
    <t>C.H.H.G.F.</t>
  </si>
  <si>
    <t>ELEMENTO</t>
  </si>
  <si>
    <t>U/M</t>
  </si>
  <si>
    <t>cantidad std.</t>
  </si>
  <si>
    <t>costo std.</t>
  </si>
  <si>
    <t>costo total</t>
  </si>
  <si>
    <t>I- MATERIA PRIMA</t>
  </si>
  <si>
    <t>Total de materia prima</t>
  </si>
  <si>
    <t>II- MANO DE OBRA</t>
  </si>
  <si>
    <t>mano de obra</t>
  </si>
  <si>
    <t>HH</t>
  </si>
  <si>
    <t>III- GASTOS DE FABRICACION</t>
  </si>
  <si>
    <t>gastos de fabricación</t>
  </si>
  <si>
    <t>H.H.</t>
  </si>
  <si>
    <t>CEDULA DE VARIACIONES</t>
  </si>
  <si>
    <t>Descripción</t>
  </si>
  <si>
    <t>Std.unitario</t>
  </si>
  <si>
    <t>Cantidad</t>
  </si>
  <si>
    <t>compra-consumo</t>
  </si>
  <si>
    <t xml:space="preserve">Variaciones </t>
  </si>
  <si>
    <t>Base</t>
  </si>
  <si>
    <t>STANDARD</t>
  </si>
  <si>
    <t>REAL</t>
  </si>
  <si>
    <t>tiempo real H.H.</t>
  </si>
  <si>
    <t>(+) desfavorable</t>
  </si>
  <si>
    <t>(-) favorable</t>
  </si>
  <si>
    <t>a) en cantidad:</t>
  </si>
  <si>
    <t>En cantidad</t>
  </si>
  <si>
    <t>Total variación de Mano de Obra</t>
  </si>
  <si>
    <t>III-GASTOS DE FABRICACION</t>
  </si>
  <si>
    <t>Total variación de Gastos de Fabricación</t>
  </si>
  <si>
    <t>ESTADO DE RESULTADOS</t>
  </si>
  <si>
    <t>%</t>
  </si>
  <si>
    <t>VENTAS</t>
  </si>
  <si>
    <t>(-) COSTO DE VENTAS</t>
  </si>
  <si>
    <t>GANANCIA BRUTA A ESTANDAR</t>
  </si>
  <si>
    <t>(-) GASTOS DE OPERACIÓN</t>
  </si>
  <si>
    <t xml:space="preserve">GANANCIA ANTES DE ISR </t>
  </si>
  <si>
    <t>Diferencia</t>
  </si>
  <si>
    <t>costo</t>
  </si>
  <si>
    <t>Estandar</t>
  </si>
  <si>
    <t xml:space="preserve">Producción </t>
  </si>
  <si>
    <t>capacidad de producción:</t>
  </si>
  <si>
    <t>Dacrón nacional</t>
  </si>
  <si>
    <t>yarda</t>
  </si>
  <si>
    <t>Biez de colores</t>
  </si>
  <si>
    <t>Elastico</t>
  </si>
  <si>
    <t>Hilo</t>
  </si>
  <si>
    <t>Marca de identificación</t>
  </si>
  <si>
    <t>millar</t>
  </si>
  <si>
    <t xml:space="preserve">VARIACION NETA DESFAVORABLE </t>
  </si>
  <si>
    <t>(+-) VARIACIONES</t>
  </si>
  <si>
    <t>CANTIDAD DE MATERIA PRIMA</t>
  </si>
  <si>
    <t>(-) DESFAVORABLES</t>
  </si>
  <si>
    <t>CANTIDAD DE MANO DE OBRA</t>
  </si>
  <si>
    <t>CANTIDAD DE GASTOS DE FABRICACION</t>
  </si>
  <si>
    <t>(+) FAVORABLES</t>
  </si>
  <si>
    <t>GANANCIA BRUTA REAL</t>
  </si>
  <si>
    <t xml:space="preserve">Hoja técnica costo stándard de prod. de 1 pijama  </t>
  </si>
  <si>
    <t xml:space="preserve">Costo estándard de producción de una  pijama </t>
  </si>
  <si>
    <t>pijamas por HF</t>
  </si>
  <si>
    <t>pijamas al año</t>
  </si>
  <si>
    <t>2520 PIJAMAS  A Q76.21</t>
  </si>
  <si>
    <t>Elástico</t>
  </si>
  <si>
    <t>2,520  PIJAMAS  A Q150.00</t>
  </si>
  <si>
    <t>En costo</t>
  </si>
  <si>
    <t>b) En costo:</t>
  </si>
  <si>
    <t>COSTO DE MATERIA PRIMA</t>
  </si>
  <si>
    <t>COSTO DE MANO DE OBRA</t>
  </si>
  <si>
    <t>COSTO DE GASTOS DE FABRICACION</t>
  </si>
  <si>
    <t>"MI PIJAMA FAVORITA"</t>
  </si>
  <si>
    <t>Bies de colores</t>
  </si>
  <si>
    <t>unidad (rollo)</t>
  </si>
  <si>
    <t>unidad (cono)</t>
  </si>
  <si>
    <t>Total variación en cantidad de materia prima directa</t>
  </si>
  <si>
    <t>Variación neta desfavorable de materia prima en cantidad</t>
  </si>
  <si>
    <t>Variación neta favorable de materia prima en costo</t>
  </si>
  <si>
    <t>TOTAL VARIACIONES</t>
  </si>
  <si>
    <t>DEL 1o. AL 31 DE JULIO 2,014</t>
  </si>
  <si>
    <t>NOTA: La variación en cantidad de de materia prima puede presentarse tambien como variación neta desfavorable que sería Q 358.00</t>
  </si>
  <si>
    <t>Franela</t>
  </si>
</sst>
</file>

<file path=xl/styles.xml><?xml version="1.0" encoding="utf-8"?>
<styleSheet xmlns="http://schemas.openxmlformats.org/spreadsheetml/2006/main">
  <numFmts count="21">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_(* #,##0_);_(* \(#,##0\);_(* &quot;-&quot;??_);_(@_)"/>
    <numFmt numFmtId="165" formatCode="_(* #,##0.0000_);_(* \(#,##0.0000\);_(* &quot;-&quot;??_);_(@_)"/>
    <numFmt numFmtId="166" formatCode="0.0000"/>
    <numFmt numFmtId="167" formatCode="_(* #,##0.000_);_(* \(#,##0.000\);_(* &quot;-&quot;???_);_(@_)"/>
    <numFmt numFmtId="168" formatCode="_(* #,##0.000_);_(* \(#,##0.000\);_(* &quot;-&quot;??_);_(@_)"/>
    <numFmt numFmtId="169" formatCode="_(* #,##0.00000_);_(* \(#,##0.00000\);_(* &quot;-&quot;??_);_(@_)"/>
    <numFmt numFmtId="170" formatCode="_(* #,##0.0000000_);_(* \(#,##0.0000000\);_(* &quot;-&quot;??_);_(@_)"/>
    <numFmt numFmtId="171" formatCode="_(* #,##0.0_);_(* \(#,##0.0\);_(* &quot;-&quot;?_);_(@_)"/>
    <numFmt numFmtId="172" formatCode="0.0"/>
    <numFmt numFmtId="173" formatCode="_(* #,##0.0_);_(* \(#,##0.0\);_(* &quot;-&quot;??_);_(@_)"/>
    <numFmt numFmtId="174" formatCode="_(* #,##0.00000_);_(* \(#,##0.00000\);_(* &quot;-&quot;?????_);_(@_)"/>
    <numFmt numFmtId="175" formatCode="_(* #,##0.000000_);_(* \(#,##0.000000\);_(* &quot;-&quot;??_);_(@_)"/>
    <numFmt numFmtId="176" formatCode="_(* #,##0.0000_);_(* \(#,##0.0000\);_(* &quot;-&quot;????_);_(@_)"/>
  </numFmts>
  <fonts count="26">
    <font>
      <sz val="10"/>
      <name val="Arial"/>
      <family val="0"/>
    </font>
    <font>
      <b/>
      <sz val="10"/>
      <name val="Book Antiqu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Tahoma"/>
      <family val="0"/>
    </font>
    <font>
      <sz val="10"/>
      <name val="Book Antiqua"/>
      <family val="1"/>
    </font>
    <font>
      <b/>
      <sz val="12"/>
      <name val="Book Antiqua"/>
      <family val="1"/>
    </font>
    <font>
      <b/>
      <sz val="11"/>
      <name val="Book Antiqua"/>
      <family val="1"/>
    </font>
    <font>
      <sz val="8"/>
      <name val="Book Antiqua"/>
      <family val="1"/>
    </font>
    <font>
      <u val="singleAccounting"/>
      <sz val="10"/>
      <name val="Book Antiqua"/>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medium"/>
    </border>
    <border>
      <left style="thin"/>
      <right style="thin"/>
      <top>
        <color indexed="63"/>
      </top>
      <bottom style="double"/>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8" fillId="0" borderId="8" applyNumberFormat="0" applyFill="0" applyAlignment="0" applyProtection="0"/>
    <xf numFmtId="0" fontId="18" fillId="0" borderId="9" applyNumberFormat="0" applyFill="0" applyAlignment="0" applyProtection="0"/>
  </cellStyleXfs>
  <cellXfs count="73">
    <xf numFmtId="0" fontId="0" fillId="0" borderId="0" xfId="0" applyAlignment="1">
      <alignment/>
    </xf>
    <xf numFmtId="0" fontId="1" fillId="0" borderId="10" xfId="0" applyFont="1" applyBorder="1" applyAlignment="1">
      <alignment/>
    </xf>
    <xf numFmtId="0" fontId="20"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1" fillId="0" borderId="0" xfId="0" applyFont="1" applyAlignment="1">
      <alignment/>
    </xf>
    <xf numFmtId="164" fontId="20" fillId="0" borderId="0" xfId="46" applyNumberFormat="1" applyFont="1" applyAlignment="1">
      <alignment/>
    </xf>
    <xf numFmtId="43" fontId="20" fillId="0" borderId="0" xfId="46" applyFont="1" applyAlignment="1">
      <alignment/>
    </xf>
    <xf numFmtId="43" fontId="20" fillId="0" borderId="0" xfId="46" applyNumberFormat="1" applyFont="1" applyAlignment="1">
      <alignment/>
    </xf>
    <xf numFmtId="43" fontId="20" fillId="0" borderId="0" xfId="0" applyNumberFormat="1" applyFont="1" applyAlignment="1">
      <alignment/>
    </xf>
    <xf numFmtId="0" fontId="21" fillId="0" borderId="0" xfId="0" applyFont="1" applyAlignment="1">
      <alignment/>
    </xf>
    <xf numFmtId="165" fontId="21" fillId="0" borderId="0" xfId="46" applyNumberFormat="1" applyFont="1" applyAlignment="1">
      <alignment/>
    </xf>
    <xf numFmtId="166" fontId="21" fillId="0" borderId="0" xfId="0" applyNumberFormat="1" applyFont="1" applyAlignment="1">
      <alignment/>
    </xf>
    <xf numFmtId="165" fontId="21" fillId="0" borderId="0" xfId="0" applyNumberFormat="1" applyFont="1" applyAlignment="1">
      <alignment/>
    </xf>
    <xf numFmtId="8" fontId="21" fillId="0" borderId="0" xfId="0" applyNumberFormat="1" applyFont="1" applyAlignment="1">
      <alignment/>
    </xf>
    <xf numFmtId="0" fontId="20" fillId="0" borderId="0" xfId="0" applyFont="1" applyAlignment="1">
      <alignment horizontal="center"/>
    </xf>
    <xf numFmtId="0" fontId="1" fillId="0" borderId="0" xfId="0" applyFont="1" applyBorder="1" applyAlignment="1">
      <alignment/>
    </xf>
    <xf numFmtId="0" fontId="20" fillId="0" borderId="10" xfId="0" applyFont="1" applyBorder="1" applyAlignment="1">
      <alignment/>
    </xf>
    <xf numFmtId="0" fontId="20" fillId="0" borderId="0" xfId="0" applyFont="1" applyBorder="1" applyAlignment="1">
      <alignment/>
    </xf>
    <xf numFmtId="43" fontId="20" fillId="0" borderId="10" xfId="46" applyFont="1" applyBorder="1" applyAlignment="1">
      <alignment/>
    </xf>
    <xf numFmtId="165" fontId="20" fillId="0" borderId="10" xfId="46" applyNumberFormat="1" applyFont="1" applyBorder="1" applyAlignment="1">
      <alignment/>
    </xf>
    <xf numFmtId="165" fontId="20" fillId="0" borderId="0" xfId="46" applyNumberFormat="1" applyFont="1" applyBorder="1" applyAlignment="1">
      <alignment/>
    </xf>
    <xf numFmtId="43" fontId="20" fillId="0" borderId="10" xfId="46" applyNumberFormat="1" applyFont="1" applyBorder="1" applyAlignment="1">
      <alignment/>
    </xf>
    <xf numFmtId="170" fontId="20" fillId="0" borderId="10" xfId="46" applyNumberFormat="1" applyFont="1" applyBorder="1" applyAlignment="1">
      <alignment/>
    </xf>
    <xf numFmtId="168" fontId="20" fillId="0" borderId="10" xfId="46" applyNumberFormat="1" applyFont="1" applyBorder="1" applyAlignment="1">
      <alignment/>
    </xf>
    <xf numFmtId="165" fontId="1" fillId="0" borderId="10" xfId="0" applyNumberFormat="1" applyFont="1" applyBorder="1" applyAlignment="1">
      <alignment/>
    </xf>
    <xf numFmtId="165" fontId="1" fillId="0" borderId="0" xfId="0" applyNumberFormat="1" applyFont="1" applyBorder="1" applyAlignment="1">
      <alignment/>
    </xf>
    <xf numFmtId="164" fontId="20" fillId="0" borderId="10" xfId="0" applyNumberFormat="1" applyFont="1" applyBorder="1" applyAlignment="1">
      <alignment/>
    </xf>
    <xf numFmtId="0" fontId="21" fillId="0" borderId="11" xfId="0" applyFont="1" applyBorder="1" applyAlignment="1">
      <alignment/>
    </xf>
    <xf numFmtId="165" fontId="21" fillId="0" borderId="11" xfId="0" applyNumberFormat="1" applyFont="1" applyBorder="1" applyAlignment="1">
      <alignment/>
    </xf>
    <xf numFmtId="0" fontId="21" fillId="0" borderId="0" xfId="0" applyFont="1" applyBorder="1" applyAlignment="1">
      <alignment/>
    </xf>
    <xf numFmtId="165" fontId="21" fillId="0" borderId="0" xfId="0" applyNumberFormat="1" applyFont="1" applyBorder="1" applyAlignment="1">
      <alignment/>
    </xf>
    <xf numFmtId="165" fontId="20" fillId="0" borderId="0" xfId="0" applyNumberFormat="1" applyFont="1" applyBorder="1" applyAlignment="1">
      <alignment/>
    </xf>
    <xf numFmtId="0" fontId="20" fillId="0" borderId="12" xfId="0" applyFont="1" applyBorder="1" applyAlignment="1">
      <alignment horizontal="center"/>
    </xf>
    <xf numFmtId="0" fontId="20" fillId="0" borderId="13" xfId="0" applyFont="1" applyBorder="1" applyAlignment="1">
      <alignment horizontal="center"/>
    </xf>
    <xf numFmtId="0" fontId="1" fillId="22" borderId="10" xfId="0" applyFont="1" applyFill="1" applyBorder="1" applyAlignment="1">
      <alignment/>
    </xf>
    <xf numFmtId="43" fontId="20" fillId="0" borderId="10" xfId="0" applyNumberFormat="1" applyFont="1" applyBorder="1" applyAlignment="1">
      <alignment/>
    </xf>
    <xf numFmtId="43" fontId="20" fillId="0" borderId="11" xfId="46" applyFont="1" applyBorder="1" applyAlignment="1">
      <alignment/>
    </xf>
    <xf numFmtId="0" fontId="1" fillId="0" borderId="10" xfId="0" applyFont="1" applyBorder="1" applyAlignment="1">
      <alignment horizontal="left"/>
    </xf>
    <xf numFmtId="0" fontId="20" fillId="0" borderId="10" xfId="0" applyFont="1" applyBorder="1" applyAlignment="1">
      <alignment horizontal="left"/>
    </xf>
    <xf numFmtId="43" fontId="20" fillId="0" borderId="14" xfId="46" applyFont="1" applyBorder="1" applyAlignment="1">
      <alignment/>
    </xf>
    <xf numFmtId="43" fontId="1" fillId="0" borderId="15" xfId="46" applyFont="1" applyBorder="1" applyAlignment="1">
      <alignment/>
    </xf>
    <xf numFmtId="43" fontId="20" fillId="0" borderId="16" xfId="46" applyFont="1" applyBorder="1" applyAlignment="1">
      <alignment/>
    </xf>
    <xf numFmtId="43" fontId="1" fillId="0" borderId="16" xfId="46" applyFont="1" applyBorder="1" applyAlignment="1">
      <alignment/>
    </xf>
    <xf numFmtId="43" fontId="1" fillId="0" borderId="10" xfId="46" applyFont="1" applyBorder="1" applyAlignment="1">
      <alignment/>
    </xf>
    <xf numFmtId="164" fontId="20" fillId="0" borderId="10" xfId="46" applyNumberFormat="1" applyFont="1" applyBorder="1" applyAlignment="1">
      <alignment/>
    </xf>
    <xf numFmtId="43" fontId="20" fillId="0" borderId="17" xfId="46" applyFont="1" applyBorder="1" applyAlignment="1">
      <alignment/>
    </xf>
    <xf numFmtId="43" fontId="23" fillId="0" borderId="0" xfId="0" applyNumberFormat="1" applyFont="1" applyAlignment="1">
      <alignment/>
    </xf>
    <xf numFmtId="0" fontId="23" fillId="0" borderId="0" xfId="0" applyFont="1" applyAlignment="1">
      <alignment/>
    </xf>
    <xf numFmtId="43" fontId="21" fillId="0" borderId="16" xfId="0" applyNumberFormat="1" applyFont="1" applyBorder="1" applyAlignment="1">
      <alignment/>
    </xf>
    <xf numFmtId="43" fontId="1" fillId="0" borderId="10" xfId="0" applyNumberFormat="1" applyFont="1" applyBorder="1" applyAlignment="1">
      <alignment/>
    </xf>
    <xf numFmtId="43" fontId="21" fillId="0" borderId="10" xfId="0" applyNumberFormat="1" applyFont="1" applyBorder="1" applyAlignment="1">
      <alignment/>
    </xf>
    <xf numFmtId="43" fontId="20" fillId="0" borderId="0" xfId="46" applyFont="1" applyBorder="1" applyAlignment="1">
      <alignment/>
    </xf>
    <xf numFmtId="170" fontId="20" fillId="0" borderId="0" xfId="0" applyNumberFormat="1" applyFont="1" applyBorder="1" applyAlignment="1">
      <alignment/>
    </xf>
    <xf numFmtId="167" fontId="20" fillId="0" borderId="0" xfId="0" applyNumberFormat="1" applyFont="1" applyAlignment="1">
      <alignment/>
    </xf>
    <xf numFmtId="169" fontId="20" fillId="0" borderId="0" xfId="46" applyNumberFormat="1" applyFont="1" applyAlignment="1">
      <alignment/>
    </xf>
    <xf numFmtId="43" fontId="23" fillId="0" borderId="0" xfId="46" applyFont="1" applyAlignment="1">
      <alignment/>
    </xf>
    <xf numFmtId="0" fontId="1" fillId="0" borderId="0" xfId="0" applyFont="1" applyAlignment="1">
      <alignment horizontal="center"/>
    </xf>
    <xf numFmtId="0" fontId="20" fillId="0" borderId="18" xfId="0" applyFont="1" applyBorder="1" applyAlignment="1">
      <alignment/>
    </xf>
    <xf numFmtId="43" fontId="20" fillId="0" borderId="18" xfId="46" applyFont="1" applyBorder="1" applyAlignment="1">
      <alignment/>
    </xf>
    <xf numFmtId="43" fontId="20" fillId="0" borderId="0" xfId="0" applyNumberFormat="1" applyFont="1" applyBorder="1" applyAlignment="1">
      <alignment/>
    </xf>
    <xf numFmtId="43" fontId="24" fillId="0" borderId="0" xfId="46" applyFont="1" applyAlignment="1">
      <alignment/>
    </xf>
    <xf numFmtId="0" fontId="22" fillId="0" borderId="0" xfId="0" applyFont="1" applyAlignment="1">
      <alignment/>
    </xf>
    <xf numFmtId="43" fontId="22" fillId="0" borderId="0" xfId="46" applyFont="1" applyAlignment="1">
      <alignment/>
    </xf>
    <xf numFmtId="43" fontId="22" fillId="0" borderId="0" xfId="46" applyFont="1" applyBorder="1" applyAlignment="1">
      <alignment/>
    </xf>
    <xf numFmtId="43" fontId="22" fillId="0" borderId="19" xfId="46" applyFont="1" applyBorder="1" applyAlignment="1">
      <alignment/>
    </xf>
    <xf numFmtId="0" fontId="20" fillId="0" borderId="0" xfId="0" applyFont="1" applyAlignment="1">
      <alignment horizontal="center"/>
    </xf>
    <xf numFmtId="0" fontId="21"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1" fillId="0" borderId="0" xfId="0" applyFont="1" applyAlignment="1">
      <alignment horizontal="center"/>
    </xf>
    <xf numFmtId="0" fontId="22" fillId="0" borderId="0" xfId="0" applyFont="1" applyAlignment="1">
      <alignment horizontal="center"/>
    </xf>
    <xf numFmtId="0" fontId="21"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
  <sheetViews>
    <sheetView tabSelected="1" view="pageBreakPreview" zoomScale="85" zoomScaleSheetLayoutView="85" zoomScalePageLayoutView="0" workbookViewId="0" topLeftCell="A1">
      <selection activeCell="G6" sqref="G6"/>
    </sheetView>
  </sheetViews>
  <sheetFormatPr defaultColWidth="11.421875" defaultRowHeight="12.75"/>
  <cols>
    <col min="1" max="1" width="2.8515625" style="2" customWidth="1"/>
    <col min="2" max="2" width="28.00390625" style="2" customWidth="1"/>
    <col min="3" max="3" width="14.140625" style="2" customWidth="1"/>
    <col min="4" max="4" width="13.57421875" style="2" customWidth="1"/>
    <col min="5" max="5" width="13.28125" style="2" customWidth="1"/>
    <col min="6" max="6" width="14.00390625" style="2" customWidth="1"/>
    <col min="7" max="8" width="11.421875" style="2" customWidth="1"/>
    <col min="9" max="9" width="14.28125" style="2" customWidth="1"/>
    <col min="10" max="10" width="18.421875" style="2" customWidth="1"/>
    <col min="11" max="11" width="12.7109375" style="2" customWidth="1"/>
    <col min="12" max="12" width="11.00390625" style="2" customWidth="1"/>
    <col min="13" max="16384" width="11.421875" style="2" customWidth="1"/>
  </cols>
  <sheetData>
    <row r="1" spans="2:13" ht="16.5">
      <c r="B1" s="72" t="s">
        <v>88</v>
      </c>
      <c r="C1" s="72"/>
      <c r="D1" s="72"/>
      <c r="E1" s="72"/>
      <c r="J1" s="72" t="s">
        <v>88</v>
      </c>
      <c r="K1" s="72"/>
      <c r="L1" s="72"/>
      <c r="M1" s="72"/>
    </row>
    <row r="2" spans="3:10" ht="13.5">
      <c r="C2" s="2" t="s">
        <v>0</v>
      </c>
      <c r="J2" s="2" t="s">
        <v>1</v>
      </c>
    </row>
    <row r="3" spans="3:13" ht="15">
      <c r="C3" s="4"/>
      <c r="D3" s="4"/>
      <c r="E3" s="4"/>
      <c r="K3" s="5"/>
      <c r="L3" s="5"/>
      <c r="M3" s="5"/>
    </row>
    <row r="4" spans="1:11" ht="13.5">
      <c r="A4" s="2" t="s">
        <v>2</v>
      </c>
      <c r="B4" s="2" t="s">
        <v>3</v>
      </c>
      <c r="C4" s="2">
        <v>220</v>
      </c>
      <c r="I4" s="2" t="s">
        <v>2</v>
      </c>
      <c r="J4" s="2" t="s">
        <v>3</v>
      </c>
      <c r="K4" s="2">
        <v>19</v>
      </c>
    </row>
    <row r="5" spans="1:11" ht="13.5">
      <c r="A5" s="2" t="s">
        <v>2</v>
      </c>
      <c r="B5" s="2" t="s">
        <v>4</v>
      </c>
      <c r="C5" s="2">
        <v>16</v>
      </c>
      <c r="I5" s="2" t="s">
        <v>2</v>
      </c>
      <c r="J5" s="2" t="s">
        <v>4</v>
      </c>
      <c r="K5" s="2">
        <f>C5</f>
        <v>16</v>
      </c>
    </row>
    <row r="6" spans="1:11" ht="13.5">
      <c r="A6" s="2" t="s">
        <v>2</v>
      </c>
      <c r="B6" s="2" t="s">
        <v>5</v>
      </c>
      <c r="C6" s="2">
        <v>10</v>
      </c>
      <c r="I6" s="2" t="s">
        <v>2</v>
      </c>
      <c r="J6" s="2" t="str">
        <f>B6</f>
        <v>obreros x turno</v>
      </c>
      <c r="K6" s="2">
        <f>C6</f>
        <v>10</v>
      </c>
    </row>
    <row r="7" ht="13.5"/>
    <row r="8" spans="2:13" ht="13.5">
      <c r="B8" s="2" t="s">
        <v>6</v>
      </c>
      <c r="C8" s="6">
        <f>+C4*C5</f>
        <v>3520</v>
      </c>
      <c r="D8" s="6"/>
      <c r="E8" s="6"/>
      <c r="J8" s="2" t="s">
        <v>6</v>
      </c>
      <c r="K8" s="6">
        <f>+K4*K5</f>
        <v>304</v>
      </c>
      <c r="L8" s="6"/>
      <c r="M8" s="6"/>
    </row>
    <row r="9" spans="2:13" ht="13.5">
      <c r="B9" s="2" t="s">
        <v>7</v>
      </c>
      <c r="C9" s="6">
        <f>+C4*C5*C6</f>
        <v>35200</v>
      </c>
      <c r="D9" s="6"/>
      <c r="E9" s="6"/>
      <c r="J9" s="2" t="s">
        <v>7</v>
      </c>
      <c r="K9" s="6">
        <f>+K4*K5*K6</f>
        <v>3040</v>
      </c>
      <c r="L9" s="6"/>
      <c r="M9" s="6"/>
    </row>
    <row r="10" ht="13.5">
      <c r="M10" s="7"/>
    </row>
    <row r="11" spans="2:13" ht="13.5">
      <c r="B11" s="2" t="s">
        <v>60</v>
      </c>
      <c r="C11" s="2">
        <v>10</v>
      </c>
      <c r="D11" s="2" t="s">
        <v>78</v>
      </c>
      <c r="M11" s="7"/>
    </row>
    <row r="12" ht="13.5">
      <c r="J12" s="2" t="s">
        <v>8</v>
      </c>
    </row>
    <row r="13" spans="2:13" ht="13.5">
      <c r="B13" s="2" t="s">
        <v>59</v>
      </c>
      <c r="J13" s="2" t="s">
        <v>9</v>
      </c>
      <c r="K13" s="6">
        <v>2800</v>
      </c>
      <c r="L13" s="6"/>
      <c r="M13" s="6"/>
    </row>
    <row r="14" spans="2:13" ht="13.5">
      <c r="B14" s="2" t="s">
        <v>79</v>
      </c>
      <c r="C14" s="6">
        <f>C11*C8</f>
        <v>35200</v>
      </c>
      <c r="J14" s="2" t="s">
        <v>10</v>
      </c>
      <c r="K14" s="6">
        <v>200</v>
      </c>
      <c r="L14" s="6"/>
      <c r="M14" s="6"/>
    </row>
    <row r="15" spans="3:13" ht="13.5">
      <c r="C15" s="6"/>
      <c r="D15" s="6"/>
      <c r="E15" s="6"/>
      <c r="J15" s="2" t="s">
        <v>12</v>
      </c>
      <c r="K15" s="8">
        <v>0.95</v>
      </c>
      <c r="L15" s="6">
        <f>+K14*K15</f>
        <v>190</v>
      </c>
      <c r="M15" s="6"/>
    </row>
    <row r="16" spans="10:13" ht="13.5">
      <c r="J16" s="2" t="s">
        <v>13</v>
      </c>
      <c r="K16" s="6">
        <f>+K13+L15</f>
        <v>2990</v>
      </c>
      <c r="L16" s="6"/>
      <c r="M16" s="6"/>
    </row>
    <row r="17" spans="2:12" ht="13.5">
      <c r="B17" s="2" t="s">
        <v>16</v>
      </c>
      <c r="C17" s="6">
        <f>C9/C14</f>
        <v>1</v>
      </c>
      <c r="D17" s="2" t="s">
        <v>28</v>
      </c>
      <c r="K17" s="7"/>
      <c r="L17" s="9"/>
    </row>
    <row r="18" spans="3:13" ht="13.5">
      <c r="C18" s="6"/>
      <c r="D18" s="6"/>
      <c r="E18" s="6"/>
      <c r="J18" s="2" t="s">
        <v>14</v>
      </c>
      <c r="K18" s="7">
        <v>51832</v>
      </c>
      <c r="L18" s="7"/>
      <c r="M18" s="7"/>
    </row>
    <row r="19" spans="2:13" ht="16.5">
      <c r="B19" s="2" t="s">
        <v>14</v>
      </c>
      <c r="C19" s="7">
        <v>598400</v>
      </c>
      <c r="J19" s="10" t="s">
        <v>15</v>
      </c>
      <c r="K19" s="11">
        <f>K18/K9</f>
        <v>17.05</v>
      </c>
      <c r="L19" s="11"/>
      <c r="M19" s="11"/>
    </row>
    <row r="20" spans="2:13" ht="16.5">
      <c r="B20" s="10" t="s">
        <v>15</v>
      </c>
      <c r="C20" s="12">
        <f>C19/C9</f>
        <v>17</v>
      </c>
      <c r="J20" s="10"/>
      <c r="K20" s="9"/>
      <c r="L20" s="9"/>
      <c r="M20" s="9"/>
    </row>
    <row r="21" spans="3:5" ht="13.5">
      <c r="C21" s="7"/>
      <c r="D21" s="7"/>
      <c r="E21" s="7"/>
    </row>
    <row r="22" spans="2:13" ht="13.5">
      <c r="B22" s="2" t="s">
        <v>17</v>
      </c>
      <c r="C22" s="7">
        <v>668800</v>
      </c>
      <c r="J22" s="2" t="s">
        <v>17</v>
      </c>
      <c r="K22" s="7">
        <v>57608</v>
      </c>
      <c r="L22" s="7"/>
      <c r="M22" s="7"/>
    </row>
    <row r="23" spans="2:13" ht="16.5">
      <c r="B23" s="10" t="s">
        <v>18</v>
      </c>
      <c r="C23" s="12">
        <f>C22/C9</f>
        <v>19</v>
      </c>
      <c r="D23" s="7"/>
      <c r="E23" s="7"/>
      <c r="J23" s="10" t="s">
        <v>18</v>
      </c>
      <c r="K23" s="13">
        <f>+K22/K9</f>
        <v>18.95</v>
      </c>
      <c r="L23" s="13"/>
      <c r="M23" s="13"/>
    </row>
    <row r="24" spans="2:13" ht="16.5">
      <c r="B24" s="10"/>
      <c r="C24" s="12"/>
      <c r="D24" s="12"/>
      <c r="E24" s="12"/>
      <c r="K24" s="9"/>
      <c r="L24" s="9"/>
      <c r="M24" s="9"/>
    </row>
    <row r="25" spans="2:13" ht="16.5">
      <c r="B25" s="10"/>
      <c r="E25" s="14"/>
      <c r="K25" s="9"/>
      <c r="L25" s="9"/>
      <c r="M25" s="9"/>
    </row>
    <row r="26" ht="13.5"/>
    <row r="27" spans="2:8" ht="16.5">
      <c r="B27" s="72" t="str">
        <f>B1</f>
        <v>"MI PIJAMA FAVORITA"</v>
      </c>
      <c r="C27" s="72"/>
      <c r="D27" s="72"/>
      <c r="E27" s="72"/>
      <c r="F27" s="72"/>
      <c r="G27" s="3"/>
      <c r="H27" s="3"/>
    </row>
    <row r="28" spans="2:8" ht="15">
      <c r="B28" s="71"/>
      <c r="C28" s="71"/>
      <c r="D28" s="71"/>
      <c r="E28" s="71"/>
      <c r="F28" s="71"/>
      <c r="G28" s="4"/>
      <c r="H28" s="4"/>
    </row>
    <row r="29" spans="2:6" ht="13.5">
      <c r="B29" s="66" t="s">
        <v>76</v>
      </c>
      <c r="C29" s="66"/>
      <c r="D29" s="66"/>
      <c r="E29" s="66"/>
      <c r="F29" s="66"/>
    </row>
    <row r="30" ht="15.75" customHeight="1"/>
    <row r="31" spans="1:8" ht="15">
      <c r="A31" s="2" t="s">
        <v>2</v>
      </c>
      <c r="B31" s="1" t="s">
        <v>19</v>
      </c>
      <c r="C31" s="1" t="s">
        <v>20</v>
      </c>
      <c r="D31" s="1" t="s">
        <v>21</v>
      </c>
      <c r="E31" s="1" t="s">
        <v>22</v>
      </c>
      <c r="F31" s="1" t="s">
        <v>23</v>
      </c>
      <c r="G31" s="16"/>
      <c r="H31" s="16"/>
    </row>
    <row r="32" spans="2:8" ht="13.5">
      <c r="B32" s="17"/>
      <c r="C32" s="17"/>
      <c r="D32" s="17"/>
      <c r="E32" s="17"/>
      <c r="F32" s="17"/>
      <c r="G32" s="18"/>
      <c r="H32" s="18"/>
    </row>
    <row r="33" spans="1:8" ht="13.5">
      <c r="A33" s="2" t="s">
        <v>2</v>
      </c>
      <c r="B33" s="17" t="s">
        <v>24</v>
      </c>
      <c r="C33" s="17" t="s">
        <v>2</v>
      </c>
      <c r="D33" s="17" t="s">
        <v>2</v>
      </c>
      <c r="E33" s="17"/>
      <c r="F33" s="17"/>
      <c r="G33" s="18"/>
      <c r="H33" s="18"/>
    </row>
    <row r="34" spans="1:8" ht="13.5">
      <c r="A34" s="2" t="s">
        <v>2</v>
      </c>
      <c r="B34" s="17" t="s">
        <v>98</v>
      </c>
      <c r="C34" s="17" t="s">
        <v>62</v>
      </c>
      <c r="D34" s="19">
        <v>3</v>
      </c>
      <c r="E34" s="19">
        <v>12</v>
      </c>
      <c r="F34" s="20">
        <f>+D34*E34</f>
        <v>36</v>
      </c>
      <c r="G34" s="21"/>
      <c r="H34" s="21"/>
    </row>
    <row r="35" spans="1:8" ht="13.5">
      <c r="A35" s="2" t="s">
        <v>2</v>
      </c>
      <c r="B35" s="17" t="s">
        <v>89</v>
      </c>
      <c r="C35" s="17" t="s">
        <v>90</v>
      </c>
      <c r="D35" s="22">
        <v>0.04</v>
      </c>
      <c r="E35" s="19">
        <v>42</v>
      </c>
      <c r="F35" s="20">
        <f>+D35*E35</f>
        <v>1.68</v>
      </c>
      <c r="G35" s="21"/>
      <c r="H35" s="21"/>
    </row>
    <row r="36" spans="1:8" ht="13.5">
      <c r="A36" s="2" t="s">
        <v>2</v>
      </c>
      <c r="B36" s="17" t="s">
        <v>64</v>
      </c>
      <c r="C36" s="17" t="s">
        <v>62</v>
      </c>
      <c r="D36" s="19">
        <v>0.75</v>
      </c>
      <c r="E36" s="19">
        <v>2.04</v>
      </c>
      <c r="F36" s="20">
        <f>+D36*E36</f>
        <v>1.53</v>
      </c>
      <c r="G36" s="21"/>
      <c r="H36" s="21"/>
    </row>
    <row r="37" spans="2:8" ht="13.5">
      <c r="B37" s="17" t="s">
        <v>65</v>
      </c>
      <c r="C37" s="17" t="s">
        <v>91</v>
      </c>
      <c r="D37" s="23">
        <f>1/60</f>
        <v>0.016666666666666666</v>
      </c>
      <c r="E37" s="19">
        <v>30</v>
      </c>
      <c r="F37" s="20">
        <f>+D37*E37</f>
        <v>0.5</v>
      </c>
      <c r="G37" s="21"/>
      <c r="H37" s="21"/>
    </row>
    <row r="38" spans="2:8" ht="13.5">
      <c r="B38" s="17" t="s">
        <v>66</v>
      </c>
      <c r="C38" s="17" t="s">
        <v>67</v>
      </c>
      <c r="D38" s="24">
        <f>1/1000</f>
        <v>0.001</v>
      </c>
      <c r="E38" s="19">
        <v>500</v>
      </c>
      <c r="F38" s="20">
        <f>+D38*E38</f>
        <v>0.5</v>
      </c>
      <c r="G38" s="21"/>
      <c r="H38" s="21"/>
    </row>
    <row r="39" spans="2:8" ht="13.5">
      <c r="B39" s="17"/>
      <c r="C39" s="17"/>
      <c r="D39" s="19"/>
      <c r="E39" s="19"/>
      <c r="F39" s="20"/>
      <c r="G39" s="21"/>
      <c r="H39" s="21"/>
    </row>
    <row r="40" spans="1:8" ht="15">
      <c r="A40" s="2" t="s">
        <v>2</v>
      </c>
      <c r="B40" s="1"/>
      <c r="C40" s="17"/>
      <c r="D40" s="19"/>
      <c r="E40" s="19"/>
      <c r="F40" s="25">
        <f>SUM(F32:F39)</f>
        <v>40.21</v>
      </c>
      <c r="G40" s="26"/>
      <c r="H40" s="26"/>
    </row>
    <row r="41" spans="1:8" ht="15">
      <c r="A41" s="2" t="s">
        <v>2</v>
      </c>
      <c r="B41" s="1" t="s">
        <v>25</v>
      </c>
      <c r="C41" s="17"/>
      <c r="D41" s="19"/>
      <c r="E41" s="19"/>
      <c r="F41" s="20">
        <f>+D41*E41</f>
        <v>0</v>
      </c>
      <c r="G41" s="21"/>
      <c r="H41" s="21"/>
    </row>
    <row r="42" spans="2:8" ht="15">
      <c r="B42" s="1"/>
      <c r="C42" s="17"/>
      <c r="D42" s="17"/>
      <c r="E42" s="17"/>
      <c r="F42" s="25"/>
      <c r="G42" s="26"/>
      <c r="H42" s="26"/>
    </row>
    <row r="43" spans="2:8" ht="15">
      <c r="B43" s="17" t="s">
        <v>26</v>
      </c>
      <c r="C43" s="17"/>
      <c r="D43" s="17"/>
      <c r="E43" s="17"/>
      <c r="F43" s="25"/>
      <c r="G43" s="26"/>
      <c r="H43" s="26"/>
    </row>
    <row r="44" spans="2:8" ht="13.5">
      <c r="B44" s="17" t="s">
        <v>27</v>
      </c>
      <c r="C44" s="17" t="s">
        <v>28</v>
      </c>
      <c r="D44" s="27">
        <f>+C17</f>
        <v>1</v>
      </c>
      <c r="E44" s="19">
        <f>+C20</f>
        <v>17</v>
      </c>
      <c r="F44" s="20">
        <f>+D44*E44</f>
        <v>17</v>
      </c>
      <c r="G44" s="21"/>
      <c r="H44" s="21"/>
    </row>
    <row r="45" spans="2:8" ht="13.5">
      <c r="B45" s="17" t="s">
        <v>29</v>
      </c>
      <c r="C45" s="17"/>
      <c r="D45" s="17"/>
      <c r="E45" s="19"/>
      <c r="F45" s="20"/>
      <c r="G45" s="21"/>
      <c r="H45" s="21"/>
    </row>
    <row r="46" spans="2:8" ht="13.5">
      <c r="B46" s="17" t="s">
        <v>30</v>
      </c>
      <c r="C46" s="17" t="s">
        <v>31</v>
      </c>
      <c r="D46" s="27">
        <f>+C17</f>
        <v>1</v>
      </c>
      <c r="E46" s="19">
        <f>+C23</f>
        <v>19</v>
      </c>
      <c r="F46" s="20">
        <f>+D46*E46</f>
        <v>19</v>
      </c>
      <c r="G46" s="21"/>
      <c r="H46" s="21"/>
    </row>
    <row r="47" spans="2:8" ht="13.5">
      <c r="B47" s="17"/>
      <c r="C47" s="17"/>
      <c r="D47" s="17"/>
      <c r="E47" s="19"/>
      <c r="F47" s="20"/>
      <c r="G47" s="21"/>
      <c r="H47" s="21"/>
    </row>
    <row r="48" spans="2:8" ht="17.25" thickBot="1">
      <c r="B48" s="28" t="s">
        <v>77</v>
      </c>
      <c r="C48" s="28"/>
      <c r="D48" s="28"/>
      <c r="E48" s="28"/>
      <c r="F48" s="29">
        <f>SUM(F40:F46)</f>
        <v>76.21000000000001</v>
      </c>
      <c r="G48" s="26"/>
      <c r="H48" s="26"/>
    </row>
    <row r="49" spans="2:8" ht="16.5">
      <c r="B49" s="30"/>
      <c r="C49" s="30"/>
      <c r="D49" s="30"/>
      <c r="E49" s="30"/>
      <c r="F49" s="31"/>
      <c r="G49" s="32"/>
      <c r="H49" s="32"/>
    </row>
    <row r="50" spans="2:11" ht="13.5">
      <c r="B50" s="66" t="str">
        <f>B1</f>
        <v>"MI PIJAMA FAVORITA"</v>
      </c>
      <c r="C50" s="66"/>
      <c r="D50" s="66"/>
      <c r="E50" s="66"/>
      <c r="F50" s="66"/>
      <c r="G50" s="66"/>
      <c r="H50" s="66"/>
      <c r="I50" s="66"/>
      <c r="J50" s="66"/>
      <c r="K50" s="66"/>
    </row>
    <row r="51" spans="2:11" ht="17.25" thickBot="1">
      <c r="B51" s="67" t="s">
        <v>32</v>
      </c>
      <c r="C51" s="67"/>
      <c r="D51" s="67"/>
      <c r="E51" s="67"/>
      <c r="F51" s="67"/>
      <c r="G51" s="67"/>
      <c r="H51" s="67"/>
      <c r="I51" s="67"/>
      <c r="J51" s="67"/>
      <c r="K51" s="67"/>
    </row>
    <row r="52" spans="2:11" ht="14.25" thickBot="1">
      <c r="B52" s="33" t="s">
        <v>33</v>
      </c>
      <c r="C52" s="33" t="s">
        <v>11</v>
      </c>
      <c r="D52" s="33" t="s">
        <v>34</v>
      </c>
      <c r="E52" s="33" t="s">
        <v>35</v>
      </c>
      <c r="F52" s="33" t="s">
        <v>35</v>
      </c>
      <c r="G52" s="33"/>
      <c r="H52" s="33" t="s">
        <v>57</v>
      </c>
      <c r="I52" s="33" t="s">
        <v>36</v>
      </c>
      <c r="J52" s="68" t="s">
        <v>37</v>
      </c>
      <c r="K52" s="69"/>
    </row>
    <row r="53" spans="2:11" ht="13.5">
      <c r="B53" s="34"/>
      <c r="C53" s="34" t="s">
        <v>38</v>
      </c>
      <c r="D53" s="34"/>
      <c r="E53" s="34" t="s">
        <v>39</v>
      </c>
      <c r="F53" s="34" t="s">
        <v>40</v>
      </c>
      <c r="G53" s="34" t="s">
        <v>56</v>
      </c>
      <c r="H53" s="34" t="s">
        <v>58</v>
      </c>
      <c r="I53" s="34" t="s">
        <v>41</v>
      </c>
      <c r="J53" s="33" t="s">
        <v>42</v>
      </c>
      <c r="K53" s="33" t="s">
        <v>43</v>
      </c>
    </row>
    <row r="54" spans="2:11" ht="15.75" customHeight="1">
      <c r="B54" s="1"/>
      <c r="C54" s="17"/>
      <c r="D54" s="17"/>
      <c r="E54" s="17"/>
      <c r="F54" s="17"/>
      <c r="G54" s="17"/>
      <c r="H54" s="17"/>
      <c r="I54" s="17"/>
      <c r="J54" s="17"/>
      <c r="K54" s="17"/>
    </row>
    <row r="55" spans="2:11" ht="15">
      <c r="B55" s="35" t="s">
        <v>24</v>
      </c>
      <c r="C55" s="27">
        <f>+K13+K14</f>
        <v>3000</v>
      </c>
      <c r="D55" s="17"/>
      <c r="E55" s="36" t="s">
        <v>2</v>
      </c>
      <c r="F55" s="17"/>
      <c r="G55" s="17"/>
      <c r="H55" s="17"/>
      <c r="I55" s="17" t="s">
        <v>2</v>
      </c>
      <c r="J55" s="17"/>
      <c r="K55" s="17"/>
    </row>
    <row r="56" spans="2:11" ht="13.5">
      <c r="B56" s="17" t="s">
        <v>44</v>
      </c>
      <c r="C56" s="27"/>
      <c r="D56" s="17"/>
      <c r="E56" s="36"/>
      <c r="F56" s="17"/>
      <c r="G56" s="17"/>
      <c r="H56" s="17"/>
      <c r="I56" s="17"/>
      <c r="J56" s="17"/>
      <c r="K56" s="17"/>
    </row>
    <row r="57" spans="2:11" ht="13.5">
      <c r="B57" s="17" t="s">
        <v>61</v>
      </c>
      <c r="C57" s="17"/>
      <c r="D57" s="24">
        <f>+D34</f>
        <v>3</v>
      </c>
      <c r="E57" s="36">
        <f>D57*C$55</f>
        <v>9000</v>
      </c>
      <c r="F57" s="36">
        <v>9025</v>
      </c>
      <c r="G57" s="36">
        <f>F57-E57</f>
        <v>25</v>
      </c>
      <c r="H57" s="19">
        <v>12</v>
      </c>
      <c r="I57" s="17"/>
      <c r="J57" s="19">
        <f>+G57*H57</f>
        <v>300</v>
      </c>
      <c r="K57" s="17"/>
    </row>
    <row r="58" spans="2:11" ht="13.5">
      <c r="B58" s="17" t="s">
        <v>63</v>
      </c>
      <c r="C58" s="17"/>
      <c r="D58" s="24">
        <f>+D35</f>
        <v>0.04</v>
      </c>
      <c r="E58" s="36">
        <f>D58*C$55</f>
        <v>120</v>
      </c>
      <c r="F58" s="36">
        <v>122</v>
      </c>
      <c r="G58" s="36">
        <f>F58-E58</f>
        <v>2</v>
      </c>
      <c r="H58" s="19">
        <v>42</v>
      </c>
      <c r="I58" s="17"/>
      <c r="J58" s="19">
        <f>+G58*H58</f>
        <v>84</v>
      </c>
      <c r="K58" s="19"/>
    </row>
    <row r="59" spans="2:11" ht="13.5">
      <c r="B59" s="17" t="s">
        <v>64</v>
      </c>
      <c r="C59" s="17"/>
      <c r="D59" s="24">
        <f>+D36</f>
        <v>0.75</v>
      </c>
      <c r="E59" s="36">
        <f>D59*C$55</f>
        <v>2250</v>
      </c>
      <c r="F59" s="22">
        <v>2225</v>
      </c>
      <c r="G59" s="36">
        <f>F59-E59</f>
        <v>-25</v>
      </c>
      <c r="H59" s="19">
        <v>2.04</v>
      </c>
      <c r="I59" s="17"/>
      <c r="J59" s="19"/>
      <c r="K59" s="19">
        <f>+G59*H59</f>
        <v>-51</v>
      </c>
    </row>
    <row r="60" spans="2:11" ht="13.5">
      <c r="B60" s="17" t="s">
        <v>65</v>
      </c>
      <c r="C60" s="17"/>
      <c r="D60" s="23">
        <f>+D37</f>
        <v>0.016666666666666666</v>
      </c>
      <c r="E60" s="36">
        <f>D60*C$55</f>
        <v>50</v>
      </c>
      <c r="F60" s="22">
        <v>50</v>
      </c>
      <c r="G60" s="36">
        <f>F60-E60</f>
        <v>0</v>
      </c>
      <c r="H60" s="19">
        <v>30</v>
      </c>
      <c r="I60" s="17"/>
      <c r="J60" s="19">
        <f>+G60*H60</f>
        <v>0</v>
      </c>
      <c r="K60" s="19"/>
    </row>
    <row r="61" spans="2:11" ht="14.25" thickBot="1">
      <c r="B61" s="17" t="s">
        <v>66</v>
      </c>
      <c r="C61" s="17"/>
      <c r="D61" s="24">
        <f>+D38</f>
        <v>0.001</v>
      </c>
      <c r="E61" s="36">
        <f>D61*C$55</f>
        <v>3</v>
      </c>
      <c r="F61" s="22">
        <v>3.05</v>
      </c>
      <c r="G61" s="36">
        <f>F61-E61</f>
        <v>0.04999999999999982</v>
      </c>
      <c r="H61" s="19">
        <v>500</v>
      </c>
      <c r="I61" s="17"/>
      <c r="J61" s="37">
        <f>+G61*H61</f>
        <v>24.99999999999991</v>
      </c>
      <c r="K61" s="37"/>
    </row>
    <row r="62" spans="2:11" ht="15.75" thickBot="1">
      <c r="B62" s="38" t="s">
        <v>92</v>
      </c>
      <c r="C62" s="39"/>
      <c r="D62" s="24"/>
      <c r="E62" s="36"/>
      <c r="F62" s="22"/>
      <c r="G62" s="36"/>
      <c r="H62" s="19"/>
      <c r="I62" s="17"/>
      <c r="J62" s="40">
        <f>SUM(J57:J61)</f>
        <v>408.9999999999999</v>
      </c>
      <c r="K62" s="40">
        <f>SUM(K57:K61)</f>
        <v>-51</v>
      </c>
    </row>
    <row r="63" spans="2:11" ht="15.75" thickBot="1">
      <c r="B63" s="38" t="s">
        <v>93</v>
      </c>
      <c r="C63" s="39"/>
      <c r="D63" s="24"/>
      <c r="E63" s="36"/>
      <c r="F63" s="22"/>
      <c r="G63" s="36"/>
      <c r="H63" s="19"/>
      <c r="I63" s="17"/>
      <c r="J63" s="41">
        <f>+J62+K62</f>
        <v>357.9999999999999</v>
      </c>
      <c r="K63" s="42"/>
    </row>
    <row r="64" spans="2:11" ht="14.25" thickTop="1">
      <c r="B64" s="17" t="s">
        <v>84</v>
      </c>
      <c r="C64" s="17"/>
      <c r="D64" s="17"/>
      <c r="E64" s="36"/>
      <c r="F64" s="36"/>
      <c r="G64" s="36"/>
      <c r="H64" s="36"/>
      <c r="I64" s="17"/>
      <c r="J64" s="42"/>
      <c r="K64" s="19"/>
    </row>
    <row r="65" spans="2:11" ht="13.5">
      <c r="B65" s="17" t="s">
        <v>61</v>
      </c>
      <c r="C65" s="17"/>
      <c r="D65" s="17"/>
      <c r="E65" s="19">
        <f>+H57</f>
        <v>12</v>
      </c>
      <c r="F65" s="22">
        <f>120487.36/1.12/9025</f>
        <v>11.919999999999998</v>
      </c>
      <c r="G65" s="36">
        <f>F65-E65</f>
        <v>-0.08000000000000185</v>
      </c>
      <c r="H65" s="22"/>
      <c r="I65" s="36">
        <f>+F57</f>
        <v>9025</v>
      </c>
      <c r="J65" s="19"/>
      <c r="K65" s="19">
        <f>+G65*I65</f>
        <v>-722.0000000000167</v>
      </c>
    </row>
    <row r="66" spans="2:11" ht="13.5">
      <c r="B66" s="17" t="s">
        <v>63</v>
      </c>
      <c r="C66" s="17"/>
      <c r="D66" s="17"/>
      <c r="E66" s="19">
        <f>+H58</f>
        <v>42</v>
      </c>
      <c r="F66" s="22">
        <f>5704.72/1.12/122</f>
        <v>41.75</v>
      </c>
      <c r="G66" s="36">
        <f>F66-E66</f>
        <v>-0.25</v>
      </c>
      <c r="H66" s="22"/>
      <c r="I66" s="36">
        <f>+F58</f>
        <v>122</v>
      </c>
      <c r="J66" s="19"/>
      <c r="K66" s="19">
        <f>+G66*I66</f>
        <v>-30.5</v>
      </c>
    </row>
    <row r="67" spans="2:11" ht="13.5">
      <c r="B67" s="17" t="s">
        <v>81</v>
      </c>
      <c r="C67" s="17"/>
      <c r="D67" s="17"/>
      <c r="E67" s="19">
        <f>+H59</f>
        <v>2.04</v>
      </c>
      <c r="F67" s="22">
        <f>4984/1.12/2225</f>
        <v>2</v>
      </c>
      <c r="G67" s="22">
        <f>F67-E67</f>
        <v>-0.040000000000000036</v>
      </c>
      <c r="H67" s="22"/>
      <c r="I67" s="36">
        <f>+F59</f>
        <v>2225</v>
      </c>
      <c r="J67" s="19"/>
      <c r="K67" s="19">
        <f>+G67*I67</f>
        <v>-89.00000000000009</v>
      </c>
    </row>
    <row r="68" spans="2:11" ht="13.5">
      <c r="B68" s="17" t="s">
        <v>65</v>
      </c>
      <c r="C68" s="17"/>
      <c r="D68" s="17"/>
      <c r="E68" s="19">
        <f>+H60</f>
        <v>30</v>
      </c>
      <c r="F68" s="22">
        <f>1652/1.12/50</f>
        <v>29.499999999999996</v>
      </c>
      <c r="G68" s="22">
        <f>F68-E68</f>
        <v>-0.5000000000000036</v>
      </c>
      <c r="H68" s="22"/>
      <c r="I68" s="36">
        <f>+F60</f>
        <v>50</v>
      </c>
      <c r="J68" s="19"/>
      <c r="K68" s="19">
        <f>+G68*I68</f>
        <v>-25.000000000000178</v>
      </c>
    </row>
    <row r="69" spans="2:11" ht="14.25" thickBot="1">
      <c r="B69" s="17" t="s">
        <v>66</v>
      </c>
      <c r="C69" s="17"/>
      <c r="D69" s="17"/>
      <c r="E69" s="19">
        <f>+H61</f>
        <v>500</v>
      </c>
      <c r="F69" s="22">
        <f>1708/1.12/3.05</f>
        <v>499.99999999999994</v>
      </c>
      <c r="G69" s="22">
        <f>F69-E69</f>
        <v>0</v>
      </c>
      <c r="H69" s="22"/>
      <c r="I69" s="36">
        <f>+F61</f>
        <v>3.05</v>
      </c>
      <c r="J69" s="37"/>
      <c r="K69" s="37"/>
    </row>
    <row r="70" spans="2:11" ht="15.75" thickBot="1">
      <c r="B70" s="38" t="s">
        <v>94</v>
      </c>
      <c r="C70" s="17"/>
      <c r="D70" s="17"/>
      <c r="E70" s="36" t="s">
        <v>2</v>
      </c>
      <c r="F70" s="36"/>
      <c r="G70" s="36"/>
      <c r="H70" s="36"/>
      <c r="I70" s="17"/>
      <c r="J70" s="43">
        <f>SUM(J65:J69)</f>
        <v>0</v>
      </c>
      <c r="K70" s="41">
        <f>SUM(K65:K69)</f>
        <v>-866.500000000017</v>
      </c>
    </row>
    <row r="71" spans="2:11" ht="15.75" thickTop="1">
      <c r="B71" s="1"/>
      <c r="C71" s="17"/>
      <c r="D71" s="17"/>
      <c r="E71" s="36"/>
      <c r="F71" s="36"/>
      <c r="G71" s="36"/>
      <c r="H71" s="36"/>
      <c r="I71" s="17"/>
      <c r="J71" s="44"/>
      <c r="K71" s="43"/>
    </row>
    <row r="72" spans="2:11" ht="15">
      <c r="B72" s="35" t="s">
        <v>26</v>
      </c>
      <c r="C72" s="45">
        <f>+K16</f>
        <v>2990</v>
      </c>
      <c r="D72" s="17"/>
      <c r="E72" s="36" t="s">
        <v>2</v>
      </c>
      <c r="F72" s="36"/>
      <c r="G72" s="36"/>
      <c r="H72" s="36"/>
      <c r="I72" s="17"/>
      <c r="J72" s="19"/>
      <c r="K72" s="19"/>
    </row>
    <row r="73" spans="2:11" ht="13.5">
      <c r="B73" s="17" t="s">
        <v>45</v>
      </c>
      <c r="C73" s="27" t="s">
        <v>28</v>
      </c>
      <c r="D73" s="27">
        <f>C17</f>
        <v>1</v>
      </c>
      <c r="E73" s="36">
        <f>+C72*D73</f>
        <v>2990</v>
      </c>
      <c r="F73" s="36">
        <f>K9</f>
        <v>3040</v>
      </c>
      <c r="G73" s="36">
        <f>F73-E73</f>
        <v>50</v>
      </c>
      <c r="H73" s="36">
        <f>C20</f>
        <v>17</v>
      </c>
      <c r="I73" s="17"/>
      <c r="J73" s="46">
        <f>+G73*H73</f>
        <v>850</v>
      </c>
      <c r="K73" s="19"/>
    </row>
    <row r="74" spans="2:11" ht="14.25" thickBot="1">
      <c r="B74" s="17" t="s">
        <v>83</v>
      </c>
      <c r="C74" s="27" t="s">
        <v>28</v>
      </c>
      <c r="D74" s="36"/>
      <c r="E74" s="36">
        <f>C20</f>
        <v>17</v>
      </c>
      <c r="F74" s="22">
        <f>K19</f>
        <v>17.05</v>
      </c>
      <c r="G74" s="36">
        <f>F74-E74</f>
        <v>0.05000000000000071</v>
      </c>
      <c r="H74" s="36"/>
      <c r="I74" s="27">
        <f>F73</f>
        <v>3040</v>
      </c>
      <c r="J74" s="37">
        <f>+G74*I74</f>
        <v>152.00000000000216</v>
      </c>
      <c r="K74" s="19"/>
    </row>
    <row r="75" spans="2:11" ht="15.75" customHeight="1" thickBot="1">
      <c r="B75" s="1" t="s">
        <v>46</v>
      </c>
      <c r="C75" s="27"/>
      <c r="D75" s="17"/>
      <c r="E75" s="36"/>
      <c r="F75" s="36"/>
      <c r="G75" s="36"/>
      <c r="H75" s="36"/>
      <c r="I75" s="17"/>
      <c r="J75" s="41">
        <f>SUM(J73:J74)</f>
        <v>1002.0000000000022</v>
      </c>
      <c r="K75" s="44">
        <f>SUM(K73:K74)</f>
        <v>0</v>
      </c>
    </row>
    <row r="76" spans="2:11" ht="15.75" thickTop="1">
      <c r="B76" s="35" t="s">
        <v>47</v>
      </c>
      <c r="C76" s="45">
        <f>+C72</f>
        <v>2990</v>
      </c>
      <c r="D76" s="17"/>
      <c r="E76" s="36">
        <f>+C76*D76</f>
        <v>0</v>
      </c>
      <c r="F76" s="36"/>
      <c r="G76" s="36"/>
      <c r="H76" s="36"/>
      <c r="I76" s="17"/>
      <c r="J76" s="42"/>
      <c r="K76" s="19"/>
    </row>
    <row r="77" spans="2:12" ht="13.5">
      <c r="B77" s="17" t="s">
        <v>45</v>
      </c>
      <c r="C77" s="17" t="s">
        <v>28</v>
      </c>
      <c r="D77" s="27">
        <f>C17</f>
        <v>1</v>
      </c>
      <c r="E77" s="36">
        <f>+C76*D77</f>
        <v>2990</v>
      </c>
      <c r="F77" s="36">
        <f>F73</f>
        <v>3040</v>
      </c>
      <c r="G77" s="36">
        <f>F77-E77</f>
        <v>50</v>
      </c>
      <c r="H77" s="36">
        <f>C23</f>
        <v>19</v>
      </c>
      <c r="I77" s="17"/>
      <c r="J77" s="19">
        <f>+G77*H77</f>
        <v>950</v>
      </c>
      <c r="K77" s="19"/>
      <c r="L77" s="47"/>
    </row>
    <row r="78" spans="2:12" ht="14.25" thickBot="1">
      <c r="B78" s="17" t="s">
        <v>83</v>
      </c>
      <c r="C78" s="17" t="s">
        <v>28</v>
      </c>
      <c r="D78" s="17"/>
      <c r="E78" s="36">
        <f>H77</f>
        <v>19</v>
      </c>
      <c r="F78" s="22">
        <f>K23</f>
        <v>18.95</v>
      </c>
      <c r="G78" s="36">
        <f>F78-E78</f>
        <v>-0.05000000000000071</v>
      </c>
      <c r="H78" s="36"/>
      <c r="I78" s="27">
        <f>F73</f>
        <v>3040</v>
      </c>
      <c r="J78" s="37"/>
      <c r="K78" s="37">
        <f>+G78*I78</f>
        <v>-152.00000000000216</v>
      </c>
      <c r="L78" s="47"/>
    </row>
    <row r="79" spans="2:12" ht="15.75" thickBot="1">
      <c r="B79" s="1" t="s">
        <v>48</v>
      </c>
      <c r="C79" s="17"/>
      <c r="D79" s="17"/>
      <c r="E79" s="36"/>
      <c r="F79" s="36"/>
      <c r="G79" s="36"/>
      <c r="H79" s="36"/>
      <c r="I79" s="17"/>
      <c r="J79" s="41">
        <f>SUM(J77:J78)</f>
        <v>950</v>
      </c>
      <c r="K79" s="41">
        <f>SUM(K77:K78)</f>
        <v>-152.00000000000216</v>
      </c>
      <c r="L79" s="48"/>
    </row>
    <row r="80" spans="2:11" ht="17.25" thickTop="1">
      <c r="B80" s="17" t="s">
        <v>95</v>
      </c>
      <c r="C80" s="17"/>
      <c r="D80" s="17"/>
      <c r="E80" s="36"/>
      <c r="F80" s="36"/>
      <c r="G80" s="36"/>
      <c r="H80" s="36"/>
      <c r="I80" s="17"/>
      <c r="J80" s="49">
        <f>+J77+J74+J73+J70+J63</f>
        <v>2310.0000000000023</v>
      </c>
      <c r="K80" s="49">
        <f>+K70+K75+K78</f>
        <v>-1018.5000000000192</v>
      </c>
    </row>
    <row r="81" spans="2:11" ht="16.5">
      <c r="B81" s="1" t="s">
        <v>68</v>
      </c>
      <c r="C81" s="1"/>
      <c r="D81" s="1"/>
      <c r="E81" s="50"/>
      <c r="F81" s="50"/>
      <c r="G81" s="50"/>
      <c r="H81" s="50"/>
      <c r="I81" s="1"/>
      <c r="J81" s="51"/>
      <c r="K81" s="51">
        <f>J80+K80</f>
        <v>1291.4999999999832</v>
      </c>
    </row>
    <row r="82" spans="1:9" ht="13.5">
      <c r="A82" s="18"/>
      <c r="B82" s="18"/>
      <c r="C82" s="18"/>
      <c r="D82" s="18"/>
      <c r="E82" s="52"/>
      <c r="F82" s="21"/>
      <c r="G82" s="21"/>
      <c r="H82" s="21"/>
      <c r="I82" s="7"/>
    </row>
    <row r="83" spans="1:9" ht="15" hidden="1">
      <c r="A83" s="18"/>
      <c r="B83" s="18"/>
      <c r="C83" s="18"/>
      <c r="D83" s="18"/>
      <c r="E83" s="18"/>
      <c r="F83" s="26"/>
      <c r="G83" s="26"/>
      <c r="H83" s="26"/>
      <c r="I83" s="7"/>
    </row>
    <row r="84" spans="1:9" ht="13.5" hidden="1">
      <c r="A84" s="18"/>
      <c r="B84" s="18"/>
      <c r="C84" s="18"/>
      <c r="D84" s="18"/>
      <c r="E84" s="18"/>
      <c r="F84" s="53"/>
      <c r="G84" s="53"/>
      <c r="H84" s="53"/>
      <c r="I84" s="54"/>
    </row>
    <row r="85" spans="4:9" ht="13.5" hidden="1">
      <c r="D85" s="6"/>
      <c r="E85" s="7"/>
      <c r="F85" s="55"/>
      <c r="G85" s="55"/>
      <c r="H85" s="55"/>
      <c r="I85" s="7"/>
    </row>
    <row r="86" spans="2:11" ht="13.5" hidden="1">
      <c r="B86" s="48"/>
      <c r="C86" s="48"/>
      <c r="D86" s="48"/>
      <c r="E86" s="48"/>
      <c r="F86" s="48"/>
      <c r="G86" s="48"/>
      <c r="H86" s="48"/>
      <c r="I86" s="48"/>
      <c r="J86" s="56"/>
      <c r="K86" s="56"/>
    </row>
    <row r="87" spans="2:11" ht="15">
      <c r="B87" s="70" t="str">
        <f>B1</f>
        <v>"MI PIJAMA FAVORITA"</v>
      </c>
      <c r="C87" s="70"/>
      <c r="D87" s="70"/>
      <c r="E87" s="70"/>
      <c r="F87" s="70"/>
      <c r="G87" s="57"/>
      <c r="H87" s="57"/>
      <c r="I87" s="48"/>
      <c r="J87" s="56"/>
      <c r="K87" s="56"/>
    </row>
    <row r="88" spans="2:11" ht="13.5">
      <c r="B88" s="66" t="s">
        <v>49</v>
      </c>
      <c r="C88" s="66"/>
      <c r="D88" s="66"/>
      <c r="E88" s="66"/>
      <c r="F88" s="66"/>
      <c r="G88" s="15"/>
      <c r="H88" s="15"/>
      <c r="I88" s="48"/>
      <c r="J88" s="56"/>
      <c r="K88" s="56"/>
    </row>
    <row r="89" spans="2:11" ht="13.5">
      <c r="B89" s="66" t="s">
        <v>96</v>
      </c>
      <c r="C89" s="66"/>
      <c r="D89" s="66"/>
      <c r="E89" s="66"/>
      <c r="F89" s="66"/>
      <c r="G89" s="15"/>
      <c r="H89" s="15"/>
      <c r="I89" s="48"/>
      <c r="J89" s="56"/>
      <c r="K89" s="56"/>
    </row>
    <row r="90" spans="7:11" ht="15">
      <c r="G90" s="57" t="s">
        <v>50</v>
      </c>
      <c r="H90" s="57"/>
      <c r="I90" s="48"/>
      <c r="J90" s="56"/>
      <c r="K90" s="56"/>
    </row>
    <row r="91" spans="2:11" ht="15">
      <c r="B91" s="5" t="s">
        <v>51</v>
      </c>
      <c r="C91" s="7"/>
      <c r="D91" s="7"/>
      <c r="E91" s="7"/>
      <c r="F91" s="7">
        <f>2520*150</f>
        <v>378000</v>
      </c>
      <c r="G91" s="7">
        <v>100</v>
      </c>
      <c r="H91" s="7"/>
      <c r="I91" s="48"/>
      <c r="J91" s="56"/>
      <c r="K91" s="56"/>
    </row>
    <row r="92" spans="2:11" ht="13.5">
      <c r="B92" s="2" t="s">
        <v>82</v>
      </c>
      <c r="C92" s="7"/>
      <c r="D92" s="7"/>
      <c r="G92" s="7"/>
      <c r="H92" s="7"/>
      <c r="I92" s="48"/>
      <c r="J92" s="56"/>
      <c r="K92" s="56"/>
    </row>
    <row r="93" spans="2:11" ht="15">
      <c r="B93" s="5" t="s">
        <v>52</v>
      </c>
      <c r="C93" s="7"/>
      <c r="D93" s="52"/>
      <c r="E93" s="7"/>
      <c r="F93" s="7">
        <f>2520*F48</f>
        <v>192049.2</v>
      </c>
      <c r="G93" s="7">
        <f>F93/F91</f>
        <v>0.5080666666666667</v>
      </c>
      <c r="H93" s="7"/>
      <c r="I93" s="48"/>
      <c r="J93" s="56"/>
      <c r="K93" s="56"/>
    </row>
    <row r="94" spans="2:11" ht="13.5">
      <c r="B94" s="2" t="s">
        <v>80</v>
      </c>
      <c r="C94" s="7"/>
      <c r="D94" s="7"/>
      <c r="E94" s="18"/>
      <c r="F94" s="58"/>
      <c r="G94" s="59"/>
      <c r="H94" s="52"/>
      <c r="I94" s="48"/>
      <c r="J94" s="56"/>
      <c r="K94" s="56"/>
    </row>
    <row r="95" spans="2:11" ht="13.5">
      <c r="B95" s="2" t="s">
        <v>53</v>
      </c>
      <c r="C95" s="7"/>
      <c r="D95" s="7"/>
      <c r="E95" s="52"/>
      <c r="F95" s="7">
        <f>SUM(F91-F93)</f>
        <v>185950.8</v>
      </c>
      <c r="G95" s="7">
        <f>F95/F91</f>
        <v>0.4919333333333333</v>
      </c>
      <c r="H95" s="7"/>
      <c r="I95" s="48"/>
      <c r="J95" s="48"/>
      <c r="K95" s="48"/>
    </row>
    <row r="96" spans="2:11" ht="15">
      <c r="B96" s="16" t="s">
        <v>69</v>
      </c>
      <c r="C96" s="7"/>
      <c r="D96" s="7"/>
      <c r="E96" s="9"/>
      <c r="F96" s="60">
        <f>E97+E102</f>
        <v>-1291.4999999999832</v>
      </c>
      <c r="G96" s="7"/>
      <c r="H96" s="7"/>
      <c r="I96" s="48"/>
      <c r="J96" s="48"/>
      <c r="K96" s="48"/>
    </row>
    <row r="97" spans="2:11" ht="13.5">
      <c r="B97" s="18" t="s">
        <v>71</v>
      </c>
      <c r="C97" s="7"/>
      <c r="D97" s="7"/>
      <c r="E97" s="7">
        <f>SUM(D98:D101)*-1</f>
        <v>-2361.0000000000023</v>
      </c>
      <c r="F97" s="9"/>
      <c r="G97" s="7"/>
      <c r="H97" s="7"/>
      <c r="I97" s="48"/>
      <c r="J97" s="48"/>
      <c r="K97" s="48"/>
    </row>
    <row r="98" spans="2:11" ht="13.5">
      <c r="B98" s="2" t="s">
        <v>70</v>
      </c>
      <c r="C98" s="7"/>
      <c r="D98" s="7">
        <f>+J62:J62</f>
        <v>408.9999999999999</v>
      </c>
      <c r="E98" s="7"/>
      <c r="F98" s="7"/>
      <c r="G98" s="7"/>
      <c r="H98" s="7"/>
      <c r="I98" s="48"/>
      <c r="J98" s="48"/>
      <c r="K98" s="48"/>
    </row>
    <row r="99" spans="2:11" ht="13.5">
      <c r="B99" s="2" t="s">
        <v>72</v>
      </c>
      <c r="C99" s="7"/>
      <c r="D99" s="7">
        <f>J73</f>
        <v>850</v>
      </c>
      <c r="G99" s="7"/>
      <c r="H99" s="7"/>
      <c r="I99" s="48"/>
      <c r="J99" s="48"/>
      <c r="K99" s="48"/>
    </row>
    <row r="100" spans="2:11" ht="13.5">
      <c r="B100" s="2" t="s">
        <v>86</v>
      </c>
      <c r="C100" s="7"/>
      <c r="D100" s="7">
        <f>J74</f>
        <v>152.00000000000216</v>
      </c>
      <c r="E100" s="18"/>
      <c r="F100" s="18"/>
      <c r="G100" s="52"/>
      <c r="H100" s="52"/>
      <c r="I100" s="48"/>
      <c r="J100" s="48"/>
      <c r="K100" s="48"/>
    </row>
    <row r="101" spans="2:11" ht="15.75">
      <c r="B101" s="2" t="s">
        <v>73</v>
      </c>
      <c r="C101" s="7"/>
      <c r="D101" s="61">
        <f>J77</f>
        <v>950</v>
      </c>
      <c r="E101" s="18"/>
      <c r="F101" s="18"/>
      <c r="G101" s="52"/>
      <c r="H101" s="52"/>
      <c r="I101" s="48"/>
      <c r="J101" s="48"/>
      <c r="K101" s="48"/>
    </row>
    <row r="102" spans="2:11" ht="13.5">
      <c r="B102" s="2" t="s">
        <v>74</v>
      </c>
      <c r="C102" s="7"/>
      <c r="D102" s="7"/>
      <c r="E102" s="7">
        <f>SUM(D103:D105)</f>
        <v>1069.500000000019</v>
      </c>
      <c r="F102" s="18"/>
      <c r="G102" s="52"/>
      <c r="H102" s="52"/>
      <c r="I102" s="48"/>
      <c r="J102" s="48"/>
      <c r="K102" s="48"/>
    </row>
    <row r="103" spans="2:11" ht="13.5">
      <c r="B103" s="2" t="s">
        <v>70</v>
      </c>
      <c r="C103" s="7"/>
      <c r="D103" s="7">
        <f>-K62</f>
        <v>51</v>
      </c>
      <c r="E103" s="7"/>
      <c r="F103" s="18"/>
      <c r="G103" s="52"/>
      <c r="H103" s="52"/>
      <c r="I103" s="48"/>
      <c r="J103" s="48"/>
      <c r="K103" s="48"/>
    </row>
    <row r="104" spans="2:11" ht="13.5">
      <c r="B104" s="2" t="s">
        <v>85</v>
      </c>
      <c r="C104" s="7"/>
      <c r="D104" s="7">
        <f>SUM(K65:K68)*-1</f>
        <v>866.500000000017</v>
      </c>
      <c r="E104" s="18"/>
      <c r="F104" s="18"/>
      <c r="G104" s="52"/>
      <c r="H104" s="52"/>
      <c r="I104" s="48"/>
      <c r="J104" s="48"/>
      <c r="K104" s="48"/>
    </row>
    <row r="105" spans="2:11" ht="13.5">
      <c r="B105" s="2" t="s">
        <v>87</v>
      </c>
      <c r="C105" s="7"/>
      <c r="D105" s="59">
        <f>K78*-1</f>
        <v>152.00000000000216</v>
      </c>
      <c r="E105" s="18"/>
      <c r="F105" s="58"/>
      <c r="G105" s="52"/>
      <c r="H105" s="52"/>
      <c r="I105" s="48"/>
      <c r="J105" s="48"/>
      <c r="K105" s="48"/>
    </row>
    <row r="106" spans="2:11" ht="13.5">
      <c r="B106" s="2" t="s">
        <v>75</v>
      </c>
      <c r="C106" s="7"/>
      <c r="D106" s="7"/>
      <c r="E106" s="9"/>
      <c r="F106" s="9">
        <f>SUM(F95-+-F96)</f>
        <v>184659.30000000002</v>
      </c>
      <c r="G106" s="7">
        <f>F106/F91</f>
        <v>0.4885166666666667</v>
      </c>
      <c r="H106" s="7"/>
      <c r="I106" s="48"/>
      <c r="J106" s="48"/>
      <c r="K106" s="48"/>
    </row>
    <row r="107" spans="2:9" ht="13.5">
      <c r="B107" s="2" t="s">
        <v>54</v>
      </c>
      <c r="C107" s="7"/>
      <c r="D107" s="7"/>
      <c r="E107" s="52"/>
      <c r="F107" s="59">
        <v>39659.3</v>
      </c>
      <c r="G107" s="59">
        <f>F107/F91*-1</f>
        <v>-0.10491878306878308</v>
      </c>
      <c r="H107" s="52"/>
      <c r="I107" s="9"/>
    </row>
    <row r="108" spans="2:8" ht="15.75" thickBot="1">
      <c r="B108" s="62" t="s">
        <v>55</v>
      </c>
      <c r="C108" s="63"/>
      <c r="D108" s="63"/>
      <c r="E108" s="64"/>
      <c r="F108" s="65">
        <f>SUM(F106-F107)</f>
        <v>145000</v>
      </c>
      <c r="G108" s="65">
        <f>F108/F91</f>
        <v>0.3835978835978836</v>
      </c>
      <c r="H108" s="64"/>
    </row>
    <row r="109" spans="3:5" ht="14.25" thickTop="1">
      <c r="C109" s="7"/>
      <c r="D109" s="7"/>
      <c r="E109" s="18"/>
    </row>
    <row r="110" spans="2:4" ht="13.5">
      <c r="B110" s="2" t="s">
        <v>97</v>
      </c>
      <c r="C110" s="7"/>
      <c r="D110" s="7"/>
    </row>
    <row r="111" spans="3:4" ht="13.5">
      <c r="C111" s="7"/>
      <c r="D111" s="7"/>
    </row>
    <row r="112" spans="3:4" ht="13.5">
      <c r="C112" s="7"/>
      <c r="D112" s="7"/>
    </row>
  </sheetData>
  <sheetProtection/>
  <mergeCells count="11">
    <mergeCell ref="B28:F28"/>
    <mergeCell ref="B1:E1"/>
    <mergeCell ref="J1:M1"/>
    <mergeCell ref="B27:F27"/>
    <mergeCell ref="B89:F89"/>
    <mergeCell ref="B50:K50"/>
    <mergeCell ref="B51:K51"/>
    <mergeCell ref="B29:F29"/>
    <mergeCell ref="J52:K52"/>
    <mergeCell ref="B87:F87"/>
    <mergeCell ref="B88:F88"/>
  </mergeCells>
  <printOptions horizontalCentered="1" verticalCentered="1"/>
  <pageMargins left="0.5118110236220472" right="0.5905511811023623" top="0.2755905511811024" bottom="0.31496062992125984" header="0" footer="0.2755905511811024"/>
  <pageSetup horizontalDpi="600" verticalDpi="600" orientation="landscape" scale="71" r:id="rId3"/>
  <rowBreaks count="1" manualBreakCount="1">
    <brk id="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RGPG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LUISG</dc:creator>
  <cp:keywords/>
  <dc:description/>
  <cp:lastModifiedBy>BEBA</cp:lastModifiedBy>
  <cp:lastPrinted>2014-08-10T04:00:34Z</cp:lastPrinted>
  <dcterms:created xsi:type="dcterms:W3CDTF">2002-08-31T19:29:04Z</dcterms:created>
  <dcterms:modified xsi:type="dcterms:W3CDTF">2014-10-04T23:44:07Z</dcterms:modified>
  <cp:category/>
  <cp:version/>
  <cp:contentType/>
  <cp:contentStatus/>
</cp:coreProperties>
</file>