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75" yWindow="-240" windowWidth="9645" windowHeight="8325"/>
  </bookViews>
  <sheets>
    <sheet name="Enunciado" sheetId="6" r:id="rId1"/>
    <sheet name="Cedulas" sheetId="2" r:id="rId2"/>
    <sheet name="Ced.Variaciones" sheetId="4" r:id="rId3"/>
    <sheet name="E.R." sheetId="3" r:id="rId4"/>
    <sheet name="Partidas" sheetId="5" r:id="rId5"/>
  </sheets>
  <definedNames>
    <definedName name="_xlnm.Print_Area" localSheetId="1">Cedulas!$A$1:$K$44</definedName>
  </definedNames>
  <calcPr calcId="125725"/>
</workbook>
</file>

<file path=xl/calcChain.xml><?xml version="1.0" encoding="utf-8"?>
<calcChain xmlns="http://schemas.openxmlformats.org/spreadsheetml/2006/main">
  <c r="E11" i="3"/>
  <c r="G67" i="5" s="1"/>
  <c r="K26" i="2"/>
  <c r="K23"/>
  <c r="E26"/>
  <c r="E23"/>
  <c r="H63" i="5"/>
  <c r="H64" s="1"/>
  <c r="H65" s="1"/>
  <c r="G62" s="1"/>
  <c r="G65" s="1"/>
  <c r="H38"/>
  <c r="E35"/>
  <c r="E9" i="3"/>
  <c r="E25" i="4"/>
  <c r="E24"/>
  <c r="E23"/>
  <c r="E22"/>
  <c r="E21"/>
  <c r="E20"/>
  <c r="H37" i="2"/>
  <c r="G17" i="4"/>
  <c r="G36" i="2"/>
  <c r="C16" i="4"/>
  <c r="G35" i="2"/>
  <c r="G34"/>
  <c r="G33"/>
  <c r="G32"/>
  <c r="I16"/>
  <c r="J13"/>
  <c r="J12"/>
  <c r="J9"/>
  <c r="J8"/>
  <c r="E20"/>
  <c r="E17"/>
  <c r="E16"/>
  <c r="D13"/>
  <c r="D12"/>
  <c r="D9"/>
  <c r="E9"/>
  <c r="D8"/>
  <c r="B55" i="5"/>
  <c r="B56"/>
  <c r="B54"/>
  <c r="E19"/>
  <c r="E20"/>
  <c r="E21"/>
  <c r="E22"/>
  <c r="E23"/>
  <c r="E18"/>
  <c r="E10"/>
  <c r="E11"/>
  <c r="E12"/>
  <c r="E13"/>
  <c r="E14"/>
  <c r="C10"/>
  <c r="C19" s="1"/>
  <c r="C11"/>
  <c r="C20" s="1"/>
  <c r="C12"/>
  <c r="C21" s="1"/>
  <c r="C13"/>
  <c r="C22" s="1"/>
  <c r="C14"/>
  <c r="C23" s="1"/>
  <c r="C9"/>
  <c r="C18" s="1"/>
  <c r="B10"/>
  <c r="B19" s="1"/>
  <c r="F19" s="1"/>
  <c r="B11"/>
  <c r="B20" s="1"/>
  <c r="F20" s="1"/>
  <c r="B12"/>
  <c r="F12"/>
  <c r="B13"/>
  <c r="B22"/>
  <c r="F22" s="1"/>
  <c r="B14"/>
  <c r="F14" s="1"/>
  <c r="B9"/>
  <c r="B18"/>
  <c r="F18" s="1"/>
  <c r="E9"/>
  <c r="K17" i="2"/>
  <c r="C36" i="5"/>
  <c r="I37" i="2"/>
  <c r="D24" i="4"/>
  <c r="F24"/>
  <c r="J24" s="1"/>
  <c r="G13"/>
  <c r="C15"/>
  <c r="C14"/>
  <c r="C13"/>
  <c r="C12"/>
  <c r="I18" i="2"/>
  <c r="C54" i="5"/>
  <c r="F54" s="1"/>
  <c r="C26" i="3"/>
  <c r="C21"/>
  <c r="B12" i="4"/>
  <c r="B13" s="1"/>
  <c r="G12"/>
  <c r="G14"/>
  <c r="G15"/>
  <c r="G16"/>
  <c r="C17"/>
  <c r="A20"/>
  <c r="D20"/>
  <c r="F20"/>
  <c r="I20" s="1"/>
  <c r="H20"/>
  <c r="A21"/>
  <c r="H21"/>
  <c r="A22"/>
  <c r="D22"/>
  <c r="H22"/>
  <c r="A23"/>
  <c r="D23"/>
  <c r="H23"/>
  <c r="A24"/>
  <c r="H24"/>
  <c r="A25"/>
  <c r="H25"/>
  <c r="I36" i="2"/>
  <c r="G27" i="5"/>
  <c r="G28"/>
  <c r="G71"/>
  <c r="H72"/>
  <c r="H74" s="1"/>
  <c r="F22" i="4"/>
  <c r="J22" s="1"/>
  <c r="K13" i="2"/>
  <c r="E33" i="4"/>
  <c r="K9" i="2"/>
  <c r="D21" i="4"/>
  <c r="I35" i="2"/>
  <c r="I34"/>
  <c r="I33"/>
  <c r="I32"/>
  <c r="C27" i="3"/>
  <c r="C25"/>
  <c r="E13" i="2"/>
  <c r="E29" i="4"/>
  <c r="B23" i="5"/>
  <c r="F23" s="1"/>
  <c r="B21"/>
  <c r="F10"/>
  <c r="F9"/>
  <c r="G8" s="1"/>
  <c r="F13"/>
  <c r="F11"/>
  <c r="G74"/>
  <c r="F21"/>
  <c r="F23" i="4"/>
  <c r="J23" s="1"/>
  <c r="F21"/>
  <c r="J21" s="1"/>
  <c r="D25"/>
  <c r="F25"/>
  <c r="J25" s="1"/>
  <c r="I38" i="2"/>
  <c r="E54" i="5"/>
  <c r="C35"/>
  <c r="F35" s="1"/>
  <c r="C37"/>
  <c r="K18" i="2"/>
  <c r="E28" i="4"/>
  <c r="G32"/>
  <c r="D33" s="1"/>
  <c r="F33" s="1"/>
  <c r="H40" i="2"/>
  <c r="G40"/>
  <c r="I40"/>
  <c r="H40" i="5" s="1"/>
  <c r="H57"/>
  <c r="C56"/>
  <c r="C55"/>
  <c r="K19" i="2"/>
  <c r="B28" i="4"/>
  <c r="B32"/>
  <c r="H29"/>
  <c r="E32"/>
  <c r="H33" s="1"/>
  <c r="H39" i="2"/>
  <c r="G28" i="4"/>
  <c r="D29" s="1"/>
  <c r="F29" s="1"/>
  <c r="I29" s="1"/>
  <c r="C28"/>
  <c r="D28" s="1"/>
  <c r="G39" i="2"/>
  <c r="I39"/>
  <c r="I41" s="1"/>
  <c r="E56" i="5"/>
  <c r="H59"/>
  <c r="H58"/>
  <c r="C32" i="4"/>
  <c r="E55" i="5"/>
  <c r="F55" s="1"/>
  <c r="E13" i="3"/>
  <c r="D32" i="4" l="1"/>
  <c r="F28"/>
  <c r="D13"/>
  <c r="F13" s="1"/>
  <c r="I13" s="1"/>
  <c r="B14"/>
  <c r="H17" i="5"/>
  <c r="G16" s="1"/>
  <c r="G24"/>
  <c r="H29"/>
  <c r="J26" i="4"/>
  <c r="J33"/>
  <c r="F56" i="5"/>
  <c r="D12" i="4"/>
  <c r="F12" s="1"/>
  <c r="I12" s="1"/>
  <c r="I22"/>
  <c r="I26" s="1"/>
  <c r="C17" i="3" s="1"/>
  <c r="G69" i="5"/>
  <c r="H68"/>
  <c r="H69" s="1"/>
  <c r="C28" i="3"/>
  <c r="H47" i="5"/>
  <c r="G53"/>
  <c r="G60" s="1"/>
  <c r="H60"/>
  <c r="E37"/>
  <c r="F37" s="1"/>
  <c r="G45"/>
  <c r="C19" i="3"/>
  <c r="E36" i="5"/>
  <c r="F36" s="1"/>
  <c r="G34" s="1"/>
  <c r="G41" s="1"/>
  <c r="H39"/>
  <c r="H41" s="1"/>
  <c r="H15" l="1"/>
  <c r="H24" s="1"/>
  <c r="C24" i="3"/>
  <c r="G26" i="5"/>
  <c r="G32" s="1"/>
  <c r="H32"/>
  <c r="B15" i="4"/>
  <c r="D14"/>
  <c r="F14" s="1"/>
  <c r="I14" s="1"/>
  <c r="F32"/>
  <c r="I32" s="1"/>
  <c r="I28"/>
  <c r="G44" i="5" l="1"/>
  <c r="H49" s="1"/>
  <c r="C18" i="3"/>
  <c r="C20"/>
  <c r="G46" i="5"/>
  <c r="H50" s="1"/>
  <c r="B16" i="4"/>
  <c r="D15"/>
  <c r="F15" s="1"/>
  <c r="J15" s="1"/>
  <c r="J18" s="1"/>
  <c r="C23" i="3" l="1"/>
  <c r="D22" s="1"/>
  <c r="J34" i="4"/>
  <c r="D16"/>
  <c r="F16" s="1"/>
  <c r="I16" s="1"/>
  <c r="B17"/>
  <c r="D17" s="1"/>
  <c r="F17" s="1"/>
  <c r="I17" s="1"/>
  <c r="I18" l="1"/>
  <c r="C16" i="3" l="1"/>
  <c r="D15" s="1"/>
  <c r="E28" s="1"/>
  <c r="E29" s="1"/>
  <c r="E31" s="1"/>
  <c r="G43" i="5"/>
  <c r="I34" i="4"/>
  <c r="J35" l="1"/>
  <c r="J36" s="1"/>
  <c r="I36"/>
  <c r="H48" i="5"/>
  <c r="H51" s="1"/>
  <c r="G51"/>
</calcChain>
</file>

<file path=xl/sharedStrings.xml><?xml version="1.0" encoding="utf-8"?>
<sst xmlns="http://schemas.openxmlformats.org/spreadsheetml/2006/main" count="272" uniqueCount="190">
  <si>
    <t>Ventas</t>
  </si>
  <si>
    <t>Descripcion</t>
  </si>
  <si>
    <t>Unidad de medida</t>
  </si>
  <si>
    <t>Materia Prima</t>
  </si>
  <si>
    <t>Mano de Obra</t>
  </si>
  <si>
    <t>HH</t>
  </si>
  <si>
    <t>Gastos de Fabrica</t>
  </si>
  <si>
    <t>CEDULA DE VARIACIONES</t>
  </si>
  <si>
    <t>Elementos</t>
  </si>
  <si>
    <t>Diferencia</t>
  </si>
  <si>
    <t>Costo Estandar</t>
  </si>
  <si>
    <t>Desfavorable</t>
  </si>
  <si>
    <t>Favorable</t>
  </si>
  <si>
    <t>Cantidad</t>
  </si>
  <si>
    <t>ESTADO DE RESULTADOS</t>
  </si>
  <si>
    <t>(-)</t>
  </si>
  <si>
    <t>Costo de Ventas</t>
  </si>
  <si>
    <t>Ganancia Bruta Estandar</t>
  </si>
  <si>
    <t>(+/-)</t>
  </si>
  <si>
    <t>Variaciones</t>
  </si>
  <si>
    <t>Ganancia Bruta</t>
  </si>
  <si>
    <t>Gastos de Operacion</t>
  </si>
  <si>
    <t>Ganancia antes del ISR</t>
  </si>
  <si>
    <t>Partida No. 1</t>
  </si>
  <si>
    <t>Partida No. 2</t>
  </si>
  <si>
    <t>p/reg. De la produccion real d/centro en el mes</t>
  </si>
  <si>
    <t>Partida No. 3</t>
  </si>
  <si>
    <t>Partida No. 4</t>
  </si>
  <si>
    <t>p/reg. La produccion en proceso del mes</t>
  </si>
  <si>
    <t>Partida No. 5</t>
  </si>
  <si>
    <t>Partida No. 6</t>
  </si>
  <si>
    <t>Partida No. 7</t>
  </si>
  <si>
    <t>p/reg. Contablemente los gtos. De operacion</t>
  </si>
  <si>
    <t>TNP</t>
  </si>
  <si>
    <t>Cedula de variaciones</t>
  </si>
  <si>
    <t>Unidad</t>
  </si>
  <si>
    <t>PROD.</t>
  </si>
  <si>
    <t>UNIVERSIDAD DE SAN CARLOS DE GUATEMALA</t>
  </si>
  <si>
    <t>FACULTAD DE CIENCIAS ECONOMICAS</t>
  </si>
  <si>
    <t>ESCUELA DE AUDITORIA</t>
  </si>
  <si>
    <t>CURSO: CONTABILIDAD VI</t>
  </si>
  <si>
    <t>TEMA: COSTO ESTANDAR</t>
  </si>
  <si>
    <t>SUB TEMA: UN CENTRO PRODUCTIVO, UN PRODUCTO</t>
  </si>
  <si>
    <t>Cedula de Elementos Estandar</t>
  </si>
  <si>
    <t>1.- Horas Fabrica</t>
  </si>
  <si>
    <t>2.- Horas Hombre</t>
  </si>
  <si>
    <t>4.- Tiempo Necesario de Producción</t>
  </si>
  <si>
    <t>5.- Costo Hora Hombre Mano de Obra</t>
  </si>
  <si>
    <t>6.- Costo Hora Hombre  Gastos de Fabricación</t>
  </si>
  <si>
    <t>Cedula de Elementos Reales</t>
  </si>
  <si>
    <t>3.- Capacidad de Producción</t>
  </si>
  <si>
    <t>4.- Costo Hora Hombre Mano de Obra</t>
  </si>
  <si>
    <t>5.- Costo Hora Hombre  Gastos de Fabricación</t>
  </si>
  <si>
    <t>Produccion Iniciada</t>
  </si>
  <si>
    <t>Produccion Terminada</t>
  </si>
  <si>
    <t>Produccion Proceso</t>
  </si>
  <si>
    <t>Cantidad Estándar Unitario</t>
  </si>
  <si>
    <t>Produccion Base</t>
  </si>
  <si>
    <t>Estandar</t>
  </si>
  <si>
    <t>Real</t>
  </si>
  <si>
    <t>Costo</t>
  </si>
  <si>
    <t>Variación</t>
  </si>
  <si>
    <t>I  Materia Prima</t>
  </si>
  <si>
    <t>II  Mano de Obra</t>
  </si>
  <si>
    <t>III  Gastos de Fabrica</t>
  </si>
  <si>
    <t>Total</t>
  </si>
  <si>
    <t>H.H.</t>
  </si>
  <si>
    <t>SOLUCION INTEGRAL</t>
  </si>
  <si>
    <t>GRUPO ESTUDIANTIL</t>
  </si>
  <si>
    <t>UN CENTRO, UN PRODUCTO</t>
  </si>
  <si>
    <t>Suma de Variación en Cantidad Materia Prima</t>
  </si>
  <si>
    <t>Suma de Variación en Costo Materia Prima</t>
  </si>
  <si>
    <t>Total de Variaciones</t>
  </si>
  <si>
    <t>TOTAL</t>
  </si>
  <si>
    <t>Desfavorables</t>
  </si>
  <si>
    <t>Materia Prima en cantidad</t>
  </si>
  <si>
    <t>Materia Prima en costo</t>
  </si>
  <si>
    <t>Mano de Obra en costo</t>
  </si>
  <si>
    <t>Mano de Obra en cantidad</t>
  </si>
  <si>
    <t>Gastos de Fabrica en cantidad</t>
  </si>
  <si>
    <t>Gastos de Fabrica en costo</t>
  </si>
  <si>
    <t>Favorables</t>
  </si>
  <si>
    <t>(+)</t>
  </si>
  <si>
    <t>Producción en Conversión</t>
  </si>
  <si>
    <t>LIBRO DIARIO</t>
  </si>
  <si>
    <t>Variacion Desfavorable</t>
  </si>
  <si>
    <t>Partida No. 8</t>
  </si>
  <si>
    <t>OPERACIONES REALES DEL MES</t>
  </si>
  <si>
    <t>Cedula de elementos estándard y real.</t>
  </si>
  <si>
    <t>p/reg. De variaciones del mes</t>
  </si>
  <si>
    <t>del mes</t>
  </si>
  <si>
    <t>Por registro de la compra de materias primas a costo estándar</t>
  </si>
  <si>
    <t>Precio Con IVA</t>
  </si>
  <si>
    <t>INVENTARIO DE MATERIA PRIMA</t>
  </si>
  <si>
    <t>VARIACION MATERIA PRIMA COSTO</t>
  </si>
  <si>
    <t>IVA POR COBRAR</t>
  </si>
  <si>
    <t>PROVEEDORES</t>
  </si>
  <si>
    <t>p/reg. Contablemente los costos reales del mes</t>
  </si>
  <si>
    <t>MATERIA PRIMA EN PROCESO</t>
  </si>
  <si>
    <t>MANO DE OBRA EN PROCESO</t>
  </si>
  <si>
    <t>GASTOS DE FABRICACION EN PROCESO</t>
  </si>
  <si>
    <t>CAJA Y BANCOS</t>
  </si>
  <si>
    <t>CUENTAS VARIAS</t>
  </si>
  <si>
    <t>INVENTARIO DE PRODUCTO TERMINADO</t>
  </si>
  <si>
    <t>Gastos de Fabricación</t>
  </si>
  <si>
    <t>VARIACION MATERIA PRIMA CANTIDAD</t>
  </si>
  <si>
    <t>VARIACION MANO DE OBRA EN CANTIDAD</t>
  </si>
  <si>
    <t>VARIACION MANO DE OBRA EN COSTO</t>
  </si>
  <si>
    <t>VARIACION GASTOS DE FABRICACION EN CANTIDAD</t>
  </si>
  <si>
    <t>VARIACION GASTOS DE FABRICACION EN COSTO</t>
  </si>
  <si>
    <t>INVENTARIO DE PRODUCTO EN PROCESO</t>
  </si>
  <si>
    <t>CUENTAS POR COBRAR</t>
  </si>
  <si>
    <t xml:space="preserve">VENTAS </t>
  </si>
  <si>
    <t>IVA POR PAGAR</t>
  </si>
  <si>
    <t>por registro de la venta del mes</t>
  </si>
  <si>
    <t>COSTO DE VENTAS</t>
  </si>
  <si>
    <t>p/reg. Del costo estándar del mes</t>
  </si>
  <si>
    <t>GASTOS DE OPERACIÓN</t>
  </si>
  <si>
    <t>JABON</t>
  </si>
  <si>
    <t>250 Dias * 8 Horas =</t>
  </si>
  <si>
    <t>250 Dias * 8 Horas * 5 Obreros =</t>
  </si>
  <si>
    <t>2,500 jabones  * 4,000 Horas Fabrica</t>
  </si>
  <si>
    <t>10,000,000 / 25 unidades = cajas de 25 unidades</t>
  </si>
  <si>
    <t>20,000 Horas Hombre / 400,000 cajas de 25 Unid</t>
  </si>
  <si>
    <t>21 Dias * 8 Horas =</t>
  </si>
  <si>
    <t>21 Dias * 8 Horas * 5 Obreros =</t>
  </si>
  <si>
    <t>3.- Producción  (Cajas de Jabon de 25 Unidades)</t>
  </si>
  <si>
    <t>Hoja Tecnica Estandard de Producción de 1 caja de jabon de 25 unidades</t>
  </si>
  <si>
    <t>Suma de Materia Prima</t>
  </si>
  <si>
    <t>Grasa Vegetal</t>
  </si>
  <si>
    <t>Galón</t>
  </si>
  <si>
    <t>Grasa Animal</t>
  </si>
  <si>
    <t>Soda Cáustica</t>
  </si>
  <si>
    <t>Kilo</t>
  </si>
  <si>
    <t>Dioxido de Titanio</t>
  </si>
  <si>
    <t>Colorante aromatizador</t>
  </si>
  <si>
    <t>kilo</t>
  </si>
  <si>
    <t>Caja de Carton</t>
  </si>
  <si>
    <t>Costo Estándar de una caja de jabon de 25 unidades</t>
  </si>
  <si>
    <t>Colorante Aromatizador</t>
  </si>
  <si>
    <t>25,000 cajas * (Q28.00 / 1.12)</t>
  </si>
  <si>
    <t>25,000 cajas * Q.15.06</t>
  </si>
  <si>
    <t>Jabon</t>
  </si>
  <si>
    <r>
      <t xml:space="preserve">La fábrica </t>
    </r>
    <r>
      <rPr>
        <b/>
        <sz val="10"/>
        <color indexed="8"/>
        <rFont val="Arial"/>
        <family val="2"/>
      </rPr>
      <t>"JABON"</t>
    </r>
    <r>
      <rPr>
        <sz val="10"/>
        <color indexed="8"/>
        <rFont val="Arial"/>
        <family val="2"/>
      </rPr>
      <t xml:space="preserve"> produce jabón en taco para lavar ropa el cual vende en cajas de 25 unidades (tacos).    Para el cálculo de sus costos de producción utiliza el sistema de costos estándar de absorción total.  A continuación le presenta la información de tipo técnico contable para el registro de sus operaciones.</t>
    </r>
  </si>
  <si>
    <t>La empresa labora 250 días al año en dos jornadas de 8 horas cada una y su capacidad de producción es de 2,500 tacos de jabón por hora fábrica.</t>
  </si>
  <si>
    <r>
      <t>Materia Prima:</t>
    </r>
    <r>
      <rPr>
        <sz val="10"/>
        <color indexed="8"/>
        <rFont val="Arial"/>
        <family val="2"/>
      </rPr>
      <t xml:space="preserve"> La materia prima que se utilza para obtener 20,000 tacos de jabón es la siguiente:  640 galones de grasa vegetal; 240 de grasa animal; 280 Kgs de soda cáustica; 40 Kgs de dióxido de titanio y 40 Kgs de colotante aromatizador.</t>
    </r>
  </si>
  <si>
    <t>Adicionalmente se utilizan cajas de cartón con capacidad de 25 unidades para el empaque correspondiente, el costo estándar es de Q.2,100.00 el millar de cajas.</t>
  </si>
  <si>
    <t>El costo estándar de las materias primas es el siguiente:</t>
  </si>
  <si>
    <t>Grasa vegetal</t>
  </si>
  <si>
    <t>Grara animal</t>
  </si>
  <si>
    <t>Dióxido de titanio</t>
  </si>
  <si>
    <t>el gálon</t>
  </si>
  <si>
    <t>el kilogramo</t>
  </si>
  <si>
    <t>Mano de Obra:</t>
  </si>
  <si>
    <t>Gastos de Fabricación:</t>
  </si>
  <si>
    <t>La fábrica trabajó 21 días en las condiciones previstas habiéndose obteniendo los resultados siguientes:</t>
  </si>
  <si>
    <t>Producción: 31,500 cajas de jabón totalmente terminadas y 1,000 cajas en proceso a un 50% de su costo de conversión.</t>
  </si>
  <si>
    <t>Ventas 25,000 cajas a un precio de Q.28.00 cada caja.</t>
  </si>
  <si>
    <t>Los Gastos de Operación del mes fueron Q,57,246.55</t>
  </si>
  <si>
    <t>Se compró y consumió las siguientes materias primas:</t>
  </si>
  <si>
    <t>Cajas de cartón</t>
  </si>
  <si>
    <t>galones</t>
  </si>
  <si>
    <t>kilogramos</t>
  </si>
  <si>
    <t>cajas</t>
  </si>
  <si>
    <t>Precio tatal según facturas</t>
  </si>
  <si>
    <t>SE PIDE EFECTUAR LO SIGUIENTE:</t>
  </si>
  <si>
    <t>Hoja técnica del costo estándard de una caja de jabón</t>
  </si>
  <si>
    <t>Estado de Resultados para el mes trabajado</t>
  </si>
  <si>
    <t>Registro completo de las operaciones contables del mes.</t>
  </si>
  <si>
    <t>360,000.00 / 20,000 Horas Hombre</t>
  </si>
  <si>
    <t>500,000.00 / 20,000 Horas Hombre</t>
  </si>
  <si>
    <t>30,324.00 / 1,680 Horas Hombre =</t>
  </si>
  <si>
    <t>41,832.00 / 1,680 Horas Hombre</t>
  </si>
  <si>
    <t>Trabajan 10 obreros  en total (5 en cada turno)  que ganan en total al año Q.360,000.00</t>
  </si>
  <si>
    <t>El presupuesto anual por este concepto asciende a Q.500,000.00</t>
  </si>
  <si>
    <t>Mano de obra incurrida Q.30,324.00 y los Gastos de Fabricación ascendieron a Q.41,832.00</t>
  </si>
  <si>
    <t xml:space="preserve"> François René De Chateaubriand</t>
  </si>
  <si>
    <t>Hay dos clases de revolucionarios; unos desean la revolución y la libertad:</t>
  </si>
  <si>
    <t>son los menos; los otros quieren la revolución y el poder: son la inmensa mayoria</t>
  </si>
  <si>
    <t>El peor enemigo de la revolución es el burgués que muchos revolucionarios llevan adentro</t>
  </si>
  <si>
    <t>(Mao Tse Tung)</t>
  </si>
  <si>
    <t>(Martin Luther King)</t>
  </si>
  <si>
    <t xml:space="preserve">Tendremos que arrepentirnos en esta generación, no tanto de las malas acciones de la gente perversa, </t>
  </si>
  <si>
    <t>sino del pasmoso silencio de la gente buena…</t>
  </si>
  <si>
    <t>Obispo Helder Camara</t>
  </si>
  <si>
    <t xml:space="preserve">Cuando alimenté a los pobres me llamaron santo; pero cuando pregunté </t>
  </si>
  <si>
    <t>por qué hay gente pobre me llamaron comunista.</t>
  </si>
  <si>
    <t>Karl Marx</t>
  </si>
  <si>
    <t xml:space="preserve">“El poder político es simplemente el poder organizado de una clase </t>
  </si>
  <si>
    <t>para oprimir a otra.”</t>
  </si>
</sst>
</file>

<file path=xl/styles.xml><?xml version="1.0" encoding="utf-8"?>
<styleSheet xmlns="http://schemas.openxmlformats.org/spreadsheetml/2006/main">
  <numFmts count="3">
    <numFmt numFmtId="44" formatCode="_(&quot;Q&quot;* #,##0.00_);_(&quot;Q&quot;* \(#,##0.00\);_(&quot;Q&quot;* &quot;-&quot;??_);_(@_)"/>
    <numFmt numFmtId="173" formatCode="#,##0.000"/>
    <numFmt numFmtId="178" formatCode="#,##0.00000"/>
  </numFmts>
  <fonts count="29">
    <font>
      <sz val="10"/>
      <name val="Arial"/>
    </font>
    <font>
      <b/>
      <sz val="10"/>
      <name val="Arial"/>
      <family val="2"/>
    </font>
    <font>
      <sz val="10"/>
      <name val="Arial"/>
      <family val="2"/>
    </font>
    <font>
      <b/>
      <u/>
      <sz val="10"/>
      <name val="Arial"/>
      <family val="2"/>
    </font>
    <font>
      <u/>
      <sz val="10"/>
      <color indexed="12"/>
      <name val="Arial"/>
      <family val="2"/>
    </font>
    <font>
      <b/>
      <sz val="14"/>
      <color indexed="9"/>
      <name val="Calibri"/>
      <family val="2"/>
    </font>
    <font>
      <b/>
      <sz val="12"/>
      <color indexed="8"/>
      <name val="Calibri"/>
      <family val="2"/>
    </font>
    <font>
      <sz val="14"/>
      <name val="Arial"/>
      <family val="2"/>
    </font>
    <font>
      <b/>
      <sz val="16"/>
      <name val="Arial"/>
      <family val="2"/>
    </font>
    <font>
      <b/>
      <sz val="14"/>
      <name val="Arial"/>
      <family val="2"/>
    </font>
    <font>
      <sz val="28"/>
      <name val="Bauhaus 93"/>
      <family val="5"/>
    </font>
    <font>
      <sz val="20"/>
      <name val="Bauhaus 93"/>
      <family val="5"/>
    </font>
    <font>
      <b/>
      <sz val="10"/>
      <color indexed="8"/>
      <name val="Arial"/>
      <family val="2"/>
    </font>
    <font>
      <sz val="10"/>
      <color indexed="8"/>
      <name val="Arial"/>
      <family val="2"/>
    </font>
    <font>
      <b/>
      <sz val="10"/>
      <color theme="1"/>
      <name val="Arial"/>
      <family val="2"/>
    </font>
    <font>
      <sz val="10"/>
      <color theme="1"/>
      <name val="Arial"/>
      <family val="2"/>
    </font>
    <font>
      <b/>
      <sz val="10"/>
      <color theme="0"/>
      <name val="Arial"/>
      <family val="2"/>
    </font>
    <font>
      <b/>
      <sz val="9"/>
      <color theme="0"/>
      <name val="Arial"/>
      <family val="2"/>
    </font>
    <font>
      <b/>
      <sz val="14"/>
      <color rgb="FFFF0000"/>
      <name val="Arial"/>
      <family val="2"/>
    </font>
    <font>
      <sz val="8"/>
      <color rgb="FFFF0000"/>
      <name val="Arial"/>
      <family val="2"/>
    </font>
    <font>
      <b/>
      <u/>
      <sz val="10"/>
      <color theme="1"/>
      <name val="Arial"/>
      <family val="2"/>
    </font>
    <font>
      <sz val="10"/>
      <color rgb="FFFF0000"/>
      <name val="Arial"/>
      <family val="2"/>
    </font>
    <font>
      <sz val="9"/>
      <color theme="1"/>
      <name val="Arial"/>
      <family val="2"/>
    </font>
    <font>
      <b/>
      <sz val="12"/>
      <color rgb="FFFF0000"/>
      <name val="Arial"/>
      <family val="2"/>
    </font>
    <font>
      <b/>
      <i/>
      <u/>
      <sz val="14"/>
      <color theme="1"/>
      <name val="Arial"/>
      <family val="2"/>
    </font>
    <font>
      <sz val="10"/>
      <color theme="0"/>
      <name val="Arial"/>
      <family val="2"/>
    </font>
    <font>
      <sz val="10"/>
      <color rgb="FF000000"/>
      <name val="Arial"/>
      <family val="2"/>
    </font>
    <font>
      <i/>
      <sz val="10"/>
      <color rgb="FF000000"/>
      <name val="Arial"/>
      <family val="2"/>
    </font>
    <font>
      <sz val="14"/>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medium">
        <color theme="1"/>
      </bottom>
      <diagonal/>
    </border>
    <border>
      <left style="hair">
        <color theme="0" tint="-0.499984740745262"/>
      </left>
      <right style="hair">
        <color theme="0" tint="-0.499984740745262"/>
      </right>
      <top style="medium">
        <color theme="1"/>
      </top>
      <bottom style="double">
        <color theme="1"/>
      </bottom>
      <diagonal/>
    </border>
    <border>
      <left/>
      <right/>
      <top/>
      <bottom style="thin">
        <color theme="1"/>
      </bottom>
      <diagonal/>
    </border>
    <border>
      <left/>
      <right/>
      <top/>
      <bottom style="hair">
        <color theme="0" tint="-0.499984740745262"/>
      </bottom>
      <diagonal/>
    </border>
    <border>
      <left/>
      <right style="hair">
        <color theme="0" tint="-0.499984740745262"/>
      </right>
      <top/>
      <bottom/>
      <diagonal/>
    </border>
    <border>
      <left style="hair">
        <color theme="0" tint="-0.499984740745262"/>
      </left>
      <right/>
      <top/>
      <bottom style="hair">
        <color theme="0" tint="-0.499984740745262"/>
      </bottom>
      <diagonal/>
    </border>
    <border>
      <left style="hair">
        <color theme="0" tint="-0.499984740745262"/>
      </left>
      <right/>
      <top/>
      <bottom/>
      <diagonal/>
    </border>
    <border>
      <left/>
      <right style="hair">
        <color theme="0" tint="-0.499984740745262"/>
      </right>
      <top/>
      <bottom style="medium">
        <color theme="1"/>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medium">
        <color theme="1"/>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bottom style="medium">
        <color theme="1"/>
      </bottom>
      <diagonal/>
    </border>
    <border>
      <left style="hair">
        <color theme="0" tint="-0.499984740745262"/>
      </left>
      <right/>
      <top/>
      <bottom style="double">
        <color theme="1"/>
      </bottom>
      <diagonal/>
    </border>
    <border>
      <left style="hair">
        <color theme="0" tint="-0.499984740745262"/>
      </left>
      <right style="hair">
        <color theme="0" tint="-0.499984740745262"/>
      </right>
      <top/>
      <bottom style="double">
        <color theme="1"/>
      </bottom>
      <diagonal/>
    </border>
    <border>
      <left style="hair">
        <color theme="0" tint="-0.499984740745262"/>
      </left>
      <right/>
      <top style="medium">
        <color theme="1"/>
      </top>
      <bottom style="double">
        <color theme="1"/>
      </bottom>
      <diagonal/>
    </border>
    <border>
      <left style="hair">
        <color theme="0" tint="-0.499984740745262"/>
      </left>
      <right style="hair">
        <color theme="0" tint="-0.499984740745262"/>
      </right>
      <top style="hair">
        <color theme="0" tint="-0.499984740745262"/>
      </top>
      <bottom style="thick">
        <color theme="1"/>
      </bottom>
      <diagonal/>
    </border>
    <border>
      <left style="hair">
        <color theme="0" tint="-0.499984740745262"/>
      </left>
      <right style="hair">
        <color theme="0" tint="-0.499984740745262"/>
      </right>
      <top style="hair">
        <color theme="0" tint="-0.499984740745262"/>
      </top>
      <bottom style="medium">
        <color indexed="64"/>
      </bottom>
      <diagonal/>
    </border>
    <border>
      <left/>
      <right style="hair">
        <color theme="0" tint="-0.499984740745262"/>
      </right>
      <top/>
      <bottom style="thin">
        <color indexed="64"/>
      </bottom>
      <diagonal/>
    </border>
    <border>
      <left style="hair">
        <color theme="0" tint="-0.499984740745262"/>
      </left>
      <right/>
      <top/>
      <bottom style="medium">
        <color indexed="64"/>
      </bottom>
      <diagonal/>
    </border>
    <border>
      <left style="hair">
        <color theme="0" tint="-0.499984740745262"/>
      </left>
      <right style="hair">
        <color theme="0" tint="-0.499984740745262"/>
      </right>
      <top/>
      <bottom style="medium">
        <color indexed="64"/>
      </bottom>
      <diagonal/>
    </border>
    <border>
      <left/>
      <right/>
      <top style="hair">
        <color theme="0" tint="-0.499984740745262"/>
      </top>
      <bottom/>
      <diagonal/>
    </border>
    <border>
      <left style="hair">
        <color theme="0" tint="-0.499984740745262"/>
      </left>
      <right/>
      <top style="medium">
        <color theme="1"/>
      </top>
      <bottom style="double">
        <color indexed="64"/>
      </bottom>
      <diagonal/>
    </border>
    <border>
      <left style="hair">
        <color theme="0" tint="-0.499984740745262"/>
      </left>
      <right style="hair">
        <color theme="0" tint="-0.499984740745262"/>
      </right>
      <top style="medium">
        <color theme="1"/>
      </top>
      <bottom style="double">
        <color indexed="64"/>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s>
  <cellStyleXfs count="2">
    <xf numFmtId="0" fontId="0" fillId="0" borderId="0"/>
    <xf numFmtId="0" fontId="4" fillId="0" borderId="0" applyNumberFormat="0" applyFill="0" applyBorder="0" applyAlignment="0" applyProtection="0">
      <alignment vertical="top"/>
      <protection locked="0"/>
    </xf>
  </cellStyleXfs>
  <cellXfs count="187">
    <xf numFmtId="0" fontId="0" fillId="0" borderId="0" xfId="0"/>
    <xf numFmtId="4" fontId="0" fillId="0" borderId="0" xfId="0" applyNumberFormat="1"/>
    <xf numFmtId="0" fontId="0" fillId="0" borderId="0" xfId="0" applyBorder="1"/>
    <xf numFmtId="0" fontId="14" fillId="2" borderId="0" xfId="0" applyFont="1" applyFill="1" applyAlignment="1"/>
    <xf numFmtId="0" fontId="15" fillId="0" borderId="0" xfId="0" applyFont="1"/>
    <xf numFmtId="0" fontId="15" fillId="2" borderId="0" xfId="0" applyFont="1" applyFill="1" applyAlignment="1"/>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0" borderId="1" xfId="0" applyFont="1" applyBorder="1" applyAlignment="1">
      <alignment vertical="center"/>
    </xf>
    <xf numFmtId="3" fontId="0" fillId="0" borderId="1" xfId="0" applyNumberFormat="1" applyBorder="1" applyAlignment="1">
      <alignment vertical="center"/>
    </xf>
    <xf numFmtId="0" fontId="0" fillId="0" borderId="1" xfId="0" applyBorder="1" applyAlignment="1">
      <alignment vertical="center"/>
    </xf>
    <xf numFmtId="0" fontId="0" fillId="0" borderId="0" xfId="0" applyAlignment="1">
      <alignment vertical="center"/>
    </xf>
    <xf numFmtId="4" fontId="0" fillId="0" borderId="1" xfId="0" applyNumberFormat="1" applyBorder="1" applyAlignment="1">
      <alignment vertical="center"/>
    </xf>
    <xf numFmtId="3" fontId="0" fillId="0" borderId="1" xfId="0" applyNumberFormat="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173" fontId="0" fillId="0" borderId="1" xfId="0" applyNumberFormat="1" applyBorder="1" applyAlignment="1">
      <alignment horizontal="center" vertical="center"/>
    </xf>
    <xf numFmtId="4" fontId="0" fillId="0" borderId="1" xfId="0" applyNumberFormat="1" applyBorder="1" applyAlignment="1">
      <alignment horizontal="right" vertical="center"/>
    </xf>
    <xf numFmtId="2" fontId="0" fillId="0" borderId="1" xfId="0" applyNumberFormat="1" applyBorder="1" applyAlignment="1">
      <alignment vertical="center"/>
    </xf>
    <xf numFmtId="2"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3" fillId="0" borderId="1" xfId="0" applyFont="1" applyBorder="1" applyAlignment="1">
      <alignment vertical="center"/>
    </xf>
    <xf numFmtId="2" fontId="1" fillId="0" borderId="2" xfId="0" applyNumberFormat="1" applyFont="1" applyBorder="1" applyAlignment="1">
      <alignment vertical="center"/>
    </xf>
    <xf numFmtId="4" fontId="1" fillId="0" borderId="1" xfId="0" applyNumberFormat="1"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4" fontId="1" fillId="0" borderId="2" xfId="0" applyNumberFormat="1" applyFont="1" applyBorder="1" applyAlignment="1">
      <alignment vertical="center"/>
    </xf>
    <xf numFmtId="4" fontId="0" fillId="0" borderId="3" xfId="0" applyNumberFormat="1" applyBorder="1" applyAlignment="1">
      <alignment vertical="center"/>
    </xf>
    <xf numFmtId="4" fontId="1" fillId="0" borderId="3" xfId="0" applyNumberFormat="1" applyFont="1" applyBorder="1" applyAlignment="1">
      <alignment vertical="center"/>
    </xf>
    <xf numFmtId="4" fontId="1" fillId="0" borderId="4" xfId="0" applyNumberFormat="1" applyFont="1" applyBorder="1" applyAlignment="1">
      <alignment vertical="center"/>
    </xf>
    <xf numFmtId="3" fontId="0" fillId="2" borderId="0" xfId="0" applyNumberFormat="1" applyFill="1" applyAlignment="1">
      <alignment horizontal="center" vertical="center"/>
    </xf>
    <xf numFmtId="3" fontId="0" fillId="2" borderId="0" xfId="0" applyNumberFormat="1" applyFill="1" applyAlignment="1">
      <alignment vertical="center"/>
    </xf>
    <xf numFmtId="3" fontId="0" fillId="2" borderId="5" xfId="0" applyNumberForma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3" fontId="2" fillId="2" borderId="0" xfId="0" applyNumberFormat="1" applyFont="1" applyFill="1" applyAlignment="1">
      <alignment horizontal="center" vertical="center"/>
    </xf>
    <xf numFmtId="9" fontId="0" fillId="2" borderId="0" xfId="0" applyNumberFormat="1" applyFill="1" applyAlignment="1">
      <alignment horizontal="center" vertical="center"/>
    </xf>
    <xf numFmtId="0" fontId="1" fillId="2" borderId="0" xfId="0" applyFont="1" applyFill="1" applyAlignment="1">
      <alignment horizontal="right" vertical="center"/>
    </xf>
    <xf numFmtId="4" fontId="0" fillId="2" borderId="0" xfId="0" applyNumberFormat="1" applyFill="1" applyAlignment="1">
      <alignment horizontal="center" vertical="center"/>
    </xf>
    <xf numFmtId="2" fontId="0" fillId="2" borderId="0" xfId="0" applyNumberFormat="1" applyFill="1" applyAlignment="1">
      <alignment horizontal="center" vertical="center"/>
    </xf>
    <xf numFmtId="0" fontId="1" fillId="0" borderId="1" xfId="0" applyFont="1" applyBorder="1" applyAlignment="1">
      <alignment horizontal="right" vertical="center"/>
    </xf>
    <xf numFmtId="0" fontId="8" fillId="0" borderId="0" xfId="0" applyFont="1" applyAlignment="1"/>
    <xf numFmtId="0" fontId="10" fillId="0" borderId="0" xfId="0" applyFont="1" applyAlignment="1"/>
    <xf numFmtId="0" fontId="7" fillId="0" borderId="0" xfId="0" applyFont="1" applyAlignment="1"/>
    <xf numFmtId="0" fontId="9" fillId="0" borderId="0" xfId="0" applyFont="1" applyAlignment="1"/>
    <xf numFmtId="0" fontId="2" fillId="0" borderId="0" xfId="0" applyFont="1" applyBorder="1" applyAlignment="1">
      <alignment horizontal="center"/>
    </xf>
    <xf numFmtId="0" fontId="2" fillId="0" borderId="6" xfId="0" applyFont="1" applyBorder="1" applyAlignment="1">
      <alignment horizontal="center"/>
    </xf>
    <xf numFmtId="0" fontId="18" fillId="0" borderId="0" xfId="0" applyFont="1" applyAlignment="1"/>
    <xf numFmtId="0" fontId="19" fillId="0" borderId="0" xfId="0" applyFont="1" applyAlignment="1"/>
    <xf numFmtId="0" fontId="15" fillId="0" borderId="0" xfId="0" applyFont="1" applyBorder="1"/>
    <xf numFmtId="4" fontId="15" fillId="0" borderId="0" xfId="0" applyNumberFormat="1" applyFont="1" applyBorder="1"/>
    <xf numFmtId="0" fontId="1" fillId="0" borderId="0" xfId="0" applyFont="1" applyAlignment="1"/>
    <xf numFmtId="0" fontId="11" fillId="0" borderId="0" xfId="0" applyFont="1" applyAlignment="1"/>
    <xf numFmtId="0" fontId="2" fillId="0" borderId="0" xfId="0" applyFont="1" applyAlignment="1"/>
    <xf numFmtId="0" fontId="2" fillId="0" borderId="0" xfId="0" applyFont="1" applyBorder="1" applyAlignment="1"/>
    <xf numFmtId="0" fontId="15" fillId="0" borderId="0" xfId="0" applyFont="1" applyBorder="1" applyAlignment="1">
      <alignment vertical="center"/>
    </xf>
    <xf numFmtId="4" fontId="15" fillId="0" borderId="7" xfId="0" applyNumberFormat="1" applyFont="1" applyBorder="1" applyAlignment="1">
      <alignment vertical="center"/>
    </xf>
    <xf numFmtId="0" fontId="15" fillId="0" borderId="8" xfId="0" applyFont="1" applyBorder="1" applyAlignment="1">
      <alignment vertical="center"/>
    </xf>
    <xf numFmtId="0" fontId="15" fillId="0" borderId="6" xfId="0" applyFont="1" applyBorder="1" applyAlignment="1">
      <alignment vertical="center"/>
    </xf>
    <xf numFmtId="4" fontId="15" fillId="0" borderId="9" xfId="0" applyNumberFormat="1" applyFont="1" applyBorder="1" applyAlignment="1">
      <alignment vertical="center"/>
    </xf>
    <xf numFmtId="0" fontId="14" fillId="0" borderId="0" xfId="0" applyFont="1" applyBorder="1" applyAlignment="1">
      <alignment vertical="center"/>
    </xf>
    <xf numFmtId="0" fontId="20" fillId="0" borderId="0" xfId="0" applyFont="1" applyBorder="1" applyAlignment="1">
      <alignment vertical="center"/>
    </xf>
    <xf numFmtId="4" fontId="15" fillId="0" borderId="10" xfId="0" applyNumberFormat="1" applyFont="1" applyBorder="1" applyAlignment="1">
      <alignment vertical="center"/>
    </xf>
    <xf numFmtId="0" fontId="15" fillId="0" borderId="11" xfId="0" applyFont="1" applyBorder="1" applyAlignment="1">
      <alignment vertical="center"/>
    </xf>
    <xf numFmtId="4" fontId="15" fillId="0" borderId="12" xfId="0" applyNumberFormat="1" applyFont="1" applyBorder="1" applyAlignment="1">
      <alignment vertical="center"/>
    </xf>
    <xf numFmtId="0" fontId="15" fillId="0" borderId="9" xfId="0" applyFont="1" applyBorder="1" applyAlignment="1">
      <alignment vertical="center"/>
    </xf>
    <xf numFmtId="4" fontId="15" fillId="0" borderId="13" xfId="0" applyNumberFormat="1" applyFont="1" applyBorder="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4" fontId="15" fillId="0" borderId="15" xfId="0" applyNumberFormat="1" applyFont="1" applyBorder="1" applyAlignment="1">
      <alignment vertical="center"/>
    </xf>
    <xf numFmtId="0" fontId="15" fillId="0" borderId="16" xfId="0" applyFont="1" applyBorder="1" applyAlignment="1">
      <alignment vertical="center"/>
    </xf>
    <xf numFmtId="0" fontId="15" fillId="0" borderId="2" xfId="0" applyFont="1" applyBorder="1" applyAlignment="1">
      <alignment vertical="center"/>
    </xf>
    <xf numFmtId="4" fontId="15" fillId="0" borderId="16" xfId="0" applyNumberFormat="1" applyFont="1" applyBorder="1" applyAlignment="1">
      <alignment vertical="center"/>
    </xf>
    <xf numFmtId="4" fontId="15" fillId="0" borderId="4" xfId="0" applyNumberFormat="1" applyFont="1" applyBorder="1" applyAlignment="1">
      <alignment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4" fontId="0" fillId="0" borderId="0" xfId="0" applyNumberFormat="1" applyAlignment="1">
      <alignment vertical="center"/>
    </xf>
    <xf numFmtId="0" fontId="14" fillId="0" borderId="0" xfId="0" applyFont="1" applyBorder="1"/>
    <xf numFmtId="0" fontId="21" fillId="0" borderId="9" xfId="0" applyFont="1" applyBorder="1"/>
    <xf numFmtId="0" fontId="21" fillId="0" borderId="8" xfId="0" applyFont="1" applyBorder="1"/>
    <xf numFmtId="0" fontId="15" fillId="0" borderId="6" xfId="0" applyFont="1" applyBorder="1"/>
    <xf numFmtId="4" fontId="15" fillId="0" borderId="6" xfId="0" applyNumberFormat="1" applyFont="1" applyBorder="1"/>
    <xf numFmtId="4" fontId="15" fillId="0" borderId="9" xfId="0" applyNumberFormat="1" applyFont="1" applyBorder="1"/>
    <xf numFmtId="4" fontId="15" fillId="0" borderId="15" xfId="0" applyNumberFormat="1" applyFont="1" applyBorder="1"/>
    <xf numFmtId="4" fontId="15" fillId="0" borderId="17" xfId="0" applyNumberFormat="1" applyFont="1" applyBorder="1"/>
    <xf numFmtId="4" fontId="15" fillId="0" borderId="18" xfId="0" applyNumberFormat="1" applyFont="1" applyBorder="1"/>
    <xf numFmtId="4" fontId="15" fillId="0" borderId="13" xfId="0" applyNumberFormat="1" applyFont="1" applyBorder="1"/>
    <xf numFmtId="4" fontId="15" fillId="0" borderId="16" xfId="0" applyNumberFormat="1" applyFont="1" applyBorder="1"/>
    <xf numFmtId="4" fontId="15" fillId="0" borderId="19" xfId="0" applyNumberFormat="1" applyFont="1" applyBorder="1"/>
    <xf numFmtId="4" fontId="15" fillId="0" borderId="4" xfId="0" applyNumberFormat="1" applyFont="1" applyBorder="1"/>
    <xf numFmtId="4" fontId="1" fillId="0" borderId="20" xfId="0" applyNumberFormat="1" applyFont="1" applyBorder="1" applyAlignment="1">
      <alignment vertical="center"/>
    </xf>
    <xf numFmtId="3" fontId="0" fillId="0" borderId="0" xfId="0" applyNumberFormat="1"/>
    <xf numFmtId="0" fontId="22" fillId="2" borderId="0" xfId="0" applyFont="1" applyFill="1" applyAlignment="1"/>
    <xf numFmtId="3" fontId="0" fillId="0" borderId="0" xfId="0" applyNumberFormat="1" applyAlignment="1">
      <alignment vertical="center"/>
    </xf>
    <xf numFmtId="0" fontId="15" fillId="0" borderId="0" xfId="0" applyFont="1" applyAlignment="1">
      <alignment horizontal="left"/>
    </xf>
    <xf numFmtId="0" fontId="23" fillId="0" borderId="0" xfId="0" applyFont="1" applyAlignment="1">
      <alignment horizontal="center"/>
    </xf>
    <xf numFmtId="0" fontId="20" fillId="0" borderId="0" xfId="0" applyFont="1" applyAlignment="1">
      <alignment horizontal="left"/>
    </xf>
    <xf numFmtId="0" fontId="15" fillId="0" borderId="0" xfId="0" applyFont="1" applyAlignment="1"/>
    <xf numFmtId="0" fontId="14" fillId="0" borderId="0" xfId="0" applyFont="1" applyAlignment="1"/>
    <xf numFmtId="44" fontId="15" fillId="0" borderId="0" xfId="0" applyNumberFormat="1" applyFont="1" applyAlignment="1"/>
    <xf numFmtId="0" fontId="0" fillId="0" borderId="0" xfId="0" applyAlignment="1">
      <alignment horizontal="center"/>
    </xf>
    <xf numFmtId="4" fontId="0" fillId="0" borderId="21" xfId="0" applyNumberFormat="1" applyBorder="1" applyAlignment="1">
      <alignment vertical="center"/>
    </xf>
    <xf numFmtId="0" fontId="24" fillId="0" borderId="0" xfId="0" applyFont="1" applyAlignment="1"/>
    <xf numFmtId="0" fontId="2" fillId="0" borderId="0" xfId="0" applyFont="1"/>
    <xf numFmtId="4" fontId="15" fillId="0" borderId="0" xfId="0" applyNumberFormat="1" applyFont="1" applyBorder="1" applyAlignment="1">
      <alignment horizontal="left"/>
    </xf>
    <xf numFmtId="4" fontId="15" fillId="0" borderId="22" xfId="0" applyNumberFormat="1" applyFont="1" applyBorder="1"/>
    <xf numFmtId="0" fontId="2" fillId="0" borderId="0" xfId="0" applyFont="1" applyBorder="1"/>
    <xf numFmtId="0" fontId="25" fillId="4" borderId="0" xfId="0" applyFont="1" applyFill="1" applyBorder="1"/>
    <xf numFmtId="4" fontId="25" fillId="4" borderId="0" xfId="0" applyNumberFormat="1" applyFont="1" applyFill="1" applyBorder="1"/>
    <xf numFmtId="4" fontId="25" fillId="4" borderId="9" xfId="0" applyNumberFormat="1" applyFont="1" applyFill="1" applyBorder="1"/>
    <xf numFmtId="4" fontId="25" fillId="4" borderId="15" xfId="0" applyNumberFormat="1" applyFont="1" applyFill="1" applyBorder="1"/>
    <xf numFmtId="4" fontId="25" fillId="4" borderId="11" xfId="0" applyNumberFormat="1" applyFont="1" applyFill="1" applyBorder="1"/>
    <xf numFmtId="4" fontId="25" fillId="4" borderId="14" xfId="0" applyNumberFormat="1" applyFont="1" applyFill="1" applyBorder="1"/>
    <xf numFmtId="4" fontId="15" fillId="0" borderId="23" xfId="0" applyNumberFormat="1" applyFont="1" applyBorder="1"/>
    <xf numFmtId="4" fontId="15" fillId="0" borderId="24" xfId="0" applyNumberFormat="1" applyFont="1" applyBorder="1"/>
    <xf numFmtId="3" fontId="15" fillId="0" borderId="0" xfId="0" applyNumberFormat="1" applyFont="1" applyBorder="1" applyAlignment="1">
      <alignment horizontal="center"/>
    </xf>
    <xf numFmtId="2" fontId="15" fillId="0" borderId="0" xfId="0" applyNumberFormat="1" applyFont="1" applyBorder="1" applyAlignment="1">
      <alignment horizontal="center"/>
    </xf>
    <xf numFmtId="3" fontId="15" fillId="0" borderId="0" xfId="0" applyNumberFormat="1" applyFont="1" applyBorder="1" applyAlignment="1">
      <alignment horizontal="center" vertical="center"/>
    </xf>
    <xf numFmtId="0" fontId="16" fillId="4" borderId="11" xfId="0" applyFont="1" applyFill="1" applyBorder="1"/>
    <xf numFmtId="0" fontId="25" fillId="4" borderId="25" xfId="0" applyFont="1" applyFill="1" applyBorder="1"/>
    <xf numFmtId="4" fontId="25" fillId="4" borderId="25" xfId="0" applyNumberFormat="1" applyFont="1" applyFill="1" applyBorder="1"/>
    <xf numFmtId="4" fontId="25" fillId="4" borderId="12" xfId="0" applyNumberFormat="1" applyFont="1" applyFill="1" applyBorder="1"/>
    <xf numFmtId="4" fontId="15" fillId="0" borderId="0" xfId="0" applyNumberFormat="1" applyFont="1" applyBorder="1" applyAlignment="1"/>
    <xf numFmtId="0" fontId="15" fillId="0" borderId="0" xfId="0" applyFont="1" applyBorder="1" applyAlignment="1"/>
    <xf numFmtId="0" fontId="15" fillId="0" borderId="9" xfId="0" applyFont="1" applyBorder="1"/>
    <xf numFmtId="0" fontId="16" fillId="4" borderId="9" xfId="0" applyFont="1" applyFill="1" applyBorder="1"/>
    <xf numFmtId="4" fontId="15" fillId="0" borderId="26" xfId="0" applyNumberFormat="1" applyFont="1" applyBorder="1"/>
    <xf numFmtId="4" fontId="15" fillId="0" borderId="27" xfId="0" applyNumberFormat="1" applyFont="1" applyBorder="1"/>
    <xf numFmtId="0" fontId="2" fillId="0" borderId="0" xfId="0" applyFont="1" applyBorder="1" applyAlignment="1">
      <alignment vertical="center"/>
    </xf>
    <xf numFmtId="4" fontId="1" fillId="0" borderId="1" xfId="0" applyNumberFormat="1" applyFont="1" applyBorder="1" applyAlignment="1">
      <alignment horizontal="right" vertical="center"/>
    </xf>
    <xf numFmtId="0" fontId="2" fillId="0" borderId="1" xfId="0" applyFont="1" applyBorder="1" applyAlignment="1">
      <alignment vertical="center"/>
    </xf>
    <xf numFmtId="3" fontId="15" fillId="0" borderId="0" xfId="0" applyNumberFormat="1" applyFont="1" applyAlignment="1">
      <alignment horizontal="center"/>
    </xf>
    <xf numFmtId="0" fontId="15" fillId="0" borderId="0" xfId="0" applyFont="1" applyAlignment="1">
      <alignment horizontal="justify"/>
    </xf>
    <xf numFmtId="0" fontId="14" fillId="0" borderId="0" xfId="0" applyFont="1" applyAlignment="1">
      <alignment horizontal="justify"/>
    </xf>
    <xf numFmtId="0" fontId="10"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1" fillId="5" borderId="28"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28" xfId="0" applyFont="1"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 fillId="2" borderId="0" xfId="0" applyFont="1" applyFill="1" applyAlignment="1">
      <alignment horizontal="left" vertical="center"/>
    </xf>
    <xf numFmtId="0" fontId="0" fillId="2" borderId="0" xfId="0" applyFill="1" applyAlignment="1">
      <alignment horizontal="left" vertical="center"/>
    </xf>
    <xf numFmtId="0" fontId="16" fillId="4" borderId="14"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28"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8" fillId="0" borderId="0" xfId="0" applyFont="1" applyAlignment="1">
      <alignment horizontal="center"/>
    </xf>
    <xf numFmtId="0" fontId="0" fillId="2" borderId="0" xfId="0" applyFill="1" applyAlignment="1">
      <alignment horizontal="center" vertical="center"/>
    </xf>
    <xf numFmtId="0" fontId="6" fillId="2" borderId="0" xfId="0" applyFont="1" applyFill="1" applyAlignment="1">
      <alignment horizontal="left" vertical="center"/>
    </xf>
    <xf numFmtId="0" fontId="5" fillId="3" borderId="0" xfId="0" applyFont="1" applyFill="1" applyAlignment="1">
      <alignment horizontal="center" vertical="center"/>
    </xf>
    <xf numFmtId="0" fontId="16" fillId="4" borderId="28" xfId="0" applyFont="1" applyFill="1" applyBorder="1" applyAlignment="1">
      <alignment horizontal="center" vertical="center"/>
    </xf>
    <xf numFmtId="0" fontId="16" fillId="4" borderId="30" xfId="0" applyFont="1" applyFill="1" applyBorder="1" applyAlignment="1">
      <alignment horizontal="center" vertical="center"/>
    </xf>
    <xf numFmtId="0" fontId="2" fillId="0" borderId="0" xfId="0" applyFont="1" applyBorder="1" applyAlignment="1">
      <alignment horizontal="center"/>
    </xf>
    <xf numFmtId="0" fontId="16" fillId="4" borderId="1" xfId="0" applyFont="1" applyFill="1" applyBorder="1" applyAlignment="1">
      <alignment horizontal="center" vertical="center" wrapText="1"/>
    </xf>
    <xf numFmtId="0" fontId="16" fillId="4" borderId="11"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31" xfId="0" applyFont="1" applyFill="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4" fillId="0" borderId="0" xfId="0" applyFont="1" applyAlignment="1">
      <alignment horizontal="center"/>
    </xf>
    <xf numFmtId="0" fontId="15" fillId="5" borderId="0" xfId="0" applyFont="1" applyFill="1" applyAlignment="1"/>
    <xf numFmtId="0" fontId="26" fillId="0" borderId="0" xfId="0" applyFont="1" applyAlignment="1">
      <alignment horizontal="left"/>
    </xf>
    <xf numFmtId="0" fontId="27" fillId="0" borderId="0" xfId="0" applyFont="1" applyAlignment="1">
      <alignment horizontal="left"/>
    </xf>
    <xf numFmtId="0" fontId="18" fillId="0" borderId="0" xfId="1" applyFont="1" applyAlignment="1" applyProtection="1">
      <alignment horizontal="center"/>
    </xf>
    <xf numFmtId="0" fontId="28" fillId="0" borderId="0" xfId="1" applyFont="1" applyAlignment="1" applyProtection="1">
      <alignment horizontal="center"/>
    </xf>
    <xf numFmtId="0" fontId="28" fillId="0" borderId="0" xfId="0" applyFont="1" applyAlignment="1">
      <alignment horizontal="center"/>
    </xf>
    <xf numFmtId="0" fontId="23" fillId="0" borderId="0" xfId="1" applyFont="1" applyAlignment="1" applyProtection="1">
      <alignment horizontal="center"/>
    </xf>
  </cellXfs>
  <cellStyles count="2">
    <cellStyle name="Hipervínculo"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266700</xdr:colOff>
      <xdr:row>0</xdr:row>
      <xdr:rowOff>57150</xdr:rowOff>
    </xdr:from>
    <xdr:to>
      <xdr:col>7</xdr:col>
      <xdr:colOff>685800</xdr:colOff>
      <xdr:row>6</xdr:row>
      <xdr:rowOff>219075</xdr:rowOff>
    </xdr:to>
    <xdr:pic>
      <xdr:nvPicPr>
        <xdr:cNvPr id="3281" name="2 Imagen"/>
        <xdr:cNvPicPr>
          <a:picLocks noChangeAspect="1"/>
        </xdr:cNvPicPr>
      </xdr:nvPicPr>
      <xdr:blipFill>
        <a:blip xmlns:r="http://schemas.openxmlformats.org/officeDocument/2006/relationships" r:embed="rId1"/>
        <a:srcRect/>
        <a:stretch>
          <a:fillRect/>
        </a:stretch>
      </xdr:blipFill>
      <xdr:spPr bwMode="auto">
        <a:xfrm>
          <a:off x="4924425" y="57150"/>
          <a:ext cx="1266825" cy="1133475"/>
        </a:xfrm>
        <a:prstGeom prst="rect">
          <a:avLst/>
        </a:prstGeom>
        <a:noFill/>
        <a:ln w="9525">
          <a:noFill/>
          <a:miter lim="800000"/>
          <a:headEnd/>
          <a:tailEnd/>
        </a:ln>
      </xdr:spPr>
    </xdr:pic>
    <xdr:clientData/>
  </xdr:twoCellAnchor>
  <xdr:twoCellAnchor editAs="oneCell">
    <xdr:from>
      <xdr:col>4</xdr:col>
      <xdr:colOff>733425</xdr:colOff>
      <xdr:row>0</xdr:row>
      <xdr:rowOff>47625</xdr:rowOff>
    </xdr:from>
    <xdr:to>
      <xdr:col>6</xdr:col>
      <xdr:colOff>257175</xdr:colOff>
      <xdr:row>7</xdr:row>
      <xdr:rowOff>28575</xdr:rowOff>
    </xdr:to>
    <xdr:pic>
      <xdr:nvPicPr>
        <xdr:cNvPr id="3282" name="0 Imagen"/>
        <xdr:cNvPicPr>
          <a:picLocks noChangeAspect="1" noChangeArrowheads="1"/>
        </xdr:cNvPicPr>
      </xdr:nvPicPr>
      <xdr:blipFill>
        <a:blip xmlns:r="http://schemas.openxmlformats.org/officeDocument/2006/relationships" r:embed="rId2"/>
        <a:srcRect/>
        <a:stretch>
          <a:fillRect/>
        </a:stretch>
      </xdr:blipFill>
      <xdr:spPr bwMode="auto">
        <a:xfrm>
          <a:off x="3781425" y="47625"/>
          <a:ext cx="1133475" cy="11906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619125</xdr:colOff>
      <xdr:row>3</xdr:row>
      <xdr:rowOff>171450</xdr:rowOff>
    </xdr:to>
    <xdr:pic>
      <xdr:nvPicPr>
        <xdr:cNvPr id="1299" name="5 Imagen"/>
        <xdr:cNvPicPr>
          <a:picLocks noChangeAspect="1"/>
        </xdr:cNvPicPr>
      </xdr:nvPicPr>
      <xdr:blipFill>
        <a:blip xmlns:r="http://schemas.openxmlformats.org/officeDocument/2006/relationships" r:embed="rId1"/>
        <a:srcRect/>
        <a:stretch>
          <a:fillRect/>
        </a:stretch>
      </xdr:blipFill>
      <xdr:spPr bwMode="auto">
        <a:xfrm>
          <a:off x="66675" y="66675"/>
          <a:ext cx="1266825" cy="1133475"/>
        </a:xfrm>
        <a:prstGeom prst="rect">
          <a:avLst/>
        </a:prstGeom>
        <a:noFill/>
        <a:ln w="9525">
          <a:noFill/>
          <a:miter lim="800000"/>
          <a:headEnd/>
          <a:tailEnd/>
        </a:ln>
      </xdr:spPr>
    </xdr:pic>
    <xdr:clientData/>
  </xdr:twoCellAnchor>
  <xdr:twoCellAnchor editAs="oneCell">
    <xdr:from>
      <xdr:col>9</xdr:col>
      <xdr:colOff>28575</xdr:colOff>
      <xdr:row>0</xdr:row>
      <xdr:rowOff>66675</xdr:rowOff>
    </xdr:from>
    <xdr:to>
      <xdr:col>10</xdr:col>
      <xdr:colOff>581025</xdr:colOff>
      <xdr:row>3</xdr:row>
      <xdr:rowOff>171450</xdr:rowOff>
    </xdr:to>
    <xdr:pic>
      <xdr:nvPicPr>
        <xdr:cNvPr id="1300" name="6 Imagen"/>
        <xdr:cNvPicPr>
          <a:picLocks noChangeAspect="1"/>
        </xdr:cNvPicPr>
      </xdr:nvPicPr>
      <xdr:blipFill>
        <a:blip xmlns:r="http://schemas.openxmlformats.org/officeDocument/2006/relationships" r:embed="rId1"/>
        <a:srcRect/>
        <a:stretch>
          <a:fillRect/>
        </a:stretch>
      </xdr:blipFill>
      <xdr:spPr bwMode="auto">
        <a:xfrm>
          <a:off x="6248400" y="66675"/>
          <a:ext cx="1266825" cy="1133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114300</xdr:rowOff>
    </xdr:from>
    <xdr:to>
      <xdr:col>1</xdr:col>
      <xdr:colOff>666750</xdr:colOff>
      <xdr:row>4</xdr:row>
      <xdr:rowOff>142875</xdr:rowOff>
    </xdr:to>
    <xdr:pic>
      <xdr:nvPicPr>
        <xdr:cNvPr id="4359" name="1 Imagen"/>
        <xdr:cNvPicPr>
          <a:picLocks noChangeAspect="1"/>
        </xdr:cNvPicPr>
      </xdr:nvPicPr>
      <xdr:blipFill>
        <a:blip xmlns:r="http://schemas.openxmlformats.org/officeDocument/2006/relationships" r:embed="rId1"/>
        <a:srcRect/>
        <a:stretch>
          <a:fillRect/>
        </a:stretch>
      </xdr:blipFill>
      <xdr:spPr bwMode="auto">
        <a:xfrm>
          <a:off x="209550" y="114300"/>
          <a:ext cx="1876425" cy="1285875"/>
        </a:xfrm>
        <a:prstGeom prst="rect">
          <a:avLst/>
        </a:prstGeom>
        <a:noFill/>
        <a:ln w="9525">
          <a:noFill/>
          <a:miter lim="800000"/>
          <a:headEnd/>
          <a:tailEnd/>
        </a:ln>
      </xdr:spPr>
    </xdr:pic>
    <xdr:clientData/>
  </xdr:twoCellAnchor>
  <xdr:twoCellAnchor editAs="oneCell">
    <xdr:from>
      <xdr:col>7</xdr:col>
      <xdr:colOff>76200</xdr:colOff>
      <xdr:row>0</xdr:row>
      <xdr:rowOff>95250</xdr:rowOff>
    </xdr:from>
    <xdr:to>
      <xdr:col>9</xdr:col>
      <xdr:colOff>523875</xdr:colOff>
      <xdr:row>4</xdr:row>
      <xdr:rowOff>123825</xdr:rowOff>
    </xdr:to>
    <xdr:pic>
      <xdr:nvPicPr>
        <xdr:cNvPr id="4360" name="3 Imagen"/>
        <xdr:cNvPicPr>
          <a:picLocks noChangeAspect="1"/>
        </xdr:cNvPicPr>
      </xdr:nvPicPr>
      <xdr:blipFill>
        <a:blip xmlns:r="http://schemas.openxmlformats.org/officeDocument/2006/relationships" r:embed="rId1"/>
        <a:srcRect/>
        <a:stretch>
          <a:fillRect/>
        </a:stretch>
      </xdr:blipFill>
      <xdr:spPr bwMode="auto">
        <a:xfrm>
          <a:off x="6096000" y="95250"/>
          <a:ext cx="1971675" cy="12858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333375</xdr:colOff>
      <xdr:row>0</xdr:row>
      <xdr:rowOff>76200</xdr:rowOff>
    </xdr:from>
    <xdr:to>
      <xdr:col>4</xdr:col>
      <xdr:colOff>752475</xdr:colOff>
      <xdr:row>4</xdr:row>
      <xdr:rowOff>142875</xdr:rowOff>
    </xdr:to>
    <xdr:pic>
      <xdr:nvPicPr>
        <xdr:cNvPr id="5373" name="3 Imagen"/>
        <xdr:cNvPicPr>
          <a:picLocks noChangeAspect="1"/>
        </xdr:cNvPicPr>
      </xdr:nvPicPr>
      <xdr:blipFill>
        <a:blip xmlns:r="http://schemas.openxmlformats.org/officeDocument/2006/relationships" r:embed="rId1"/>
        <a:srcRect/>
        <a:stretch>
          <a:fillRect/>
        </a:stretch>
      </xdr:blipFill>
      <xdr:spPr bwMode="auto">
        <a:xfrm>
          <a:off x="4438650" y="76200"/>
          <a:ext cx="1276350" cy="952500"/>
        </a:xfrm>
        <a:prstGeom prst="rect">
          <a:avLst/>
        </a:prstGeom>
        <a:noFill/>
        <a:ln w="9525">
          <a:noFill/>
          <a:miter lim="800000"/>
          <a:headEnd/>
          <a:tailEnd/>
        </a:ln>
      </xdr:spPr>
    </xdr:pic>
    <xdr:clientData/>
  </xdr:twoCellAnchor>
  <xdr:twoCellAnchor editAs="oneCell">
    <xdr:from>
      <xdr:col>0</xdr:col>
      <xdr:colOff>66675</xdr:colOff>
      <xdr:row>0</xdr:row>
      <xdr:rowOff>85725</xdr:rowOff>
    </xdr:from>
    <xdr:to>
      <xdr:col>1</xdr:col>
      <xdr:colOff>933450</xdr:colOff>
      <xdr:row>4</xdr:row>
      <xdr:rowOff>152400</xdr:rowOff>
    </xdr:to>
    <xdr:pic>
      <xdr:nvPicPr>
        <xdr:cNvPr id="5374" name="4 Imagen"/>
        <xdr:cNvPicPr>
          <a:picLocks noChangeAspect="1"/>
        </xdr:cNvPicPr>
      </xdr:nvPicPr>
      <xdr:blipFill>
        <a:blip xmlns:r="http://schemas.openxmlformats.org/officeDocument/2006/relationships" r:embed="rId1"/>
        <a:srcRect/>
        <a:stretch>
          <a:fillRect/>
        </a:stretch>
      </xdr:blipFill>
      <xdr:spPr bwMode="auto">
        <a:xfrm>
          <a:off x="66675" y="85725"/>
          <a:ext cx="1276350" cy="9525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800100</xdr:colOff>
      <xdr:row>3</xdr:row>
      <xdr:rowOff>104775</xdr:rowOff>
    </xdr:to>
    <xdr:pic>
      <xdr:nvPicPr>
        <xdr:cNvPr id="2257" name="2 Imagen"/>
        <xdr:cNvPicPr>
          <a:picLocks noChangeAspect="1"/>
        </xdr:cNvPicPr>
      </xdr:nvPicPr>
      <xdr:blipFill>
        <a:blip xmlns:r="http://schemas.openxmlformats.org/officeDocument/2006/relationships" r:embed="rId1" cstate="print"/>
        <a:srcRect/>
        <a:stretch>
          <a:fillRect/>
        </a:stretch>
      </xdr:blipFill>
      <xdr:spPr bwMode="auto">
        <a:xfrm>
          <a:off x="66675" y="85725"/>
          <a:ext cx="1143000" cy="742950"/>
        </a:xfrm>
        <a:prstGeom prst="rect">
          <a:avLst/>
        </a:prstGeom>
        <a:noFill/>
        <a:ln w="9525">
          <a:noFill/>
          <a:miter lim="800000"/>
          <a:headEnd/>
          <a:tailEnd/>
        </a:ln>
      </xdr:spPr>
    </xdr:pic>
    <xdr:clientData/>
  </xdr:twoCellAnchor>
  <xdr:twoCellAnchor editAs="oneCell">
    <xdr:from>
      <xdr:col>6</xdr:col>
      <xdr:colOff>333375</xdr:colOff>
      <xdr:row>0</xdr:row>
      <xdr:rowOff>104775</xdr:rowOff>
    </xdr:from>
    <xdr:to>
      <xdr:col>7</xdr:col>
      <xdr:colOff>695325</xdr:colOff>
      <xdr:row>3</xdr:row>
      <xdr:rowOff>123825</xdr:rowOff>
    </xdr:to>
    <xdr:pic>
      <xdr:nvPicPr>
        <xdr:cNvPr id="2258" name="3 Imagen"/>
        <xdr:cNvPicPr>
          <a:picLocks noChangeAspect="1"/>
        </xdr:cNvPicPr>
      </xdr:nvPicPr>
      <xdr:blipFill>
        <a:blip xmlns:r="http://schemas.openxmlformats.org/officeDocument/2006/relationships" r:embed="rId1" cstate="print"/>
        <a:srcRect/>
        <a:stretch>
          <a:fillRect/>
        </a:stretch>
      </xdr:blipFill>
      <xdr:spPr bwMode="auto">
        <a:xfrm>
          <a:off x="5076825" y="104775"/>
          <a:ext cx="1143000"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H63"/>
  <sheetViews>
    <sheetView showGridLines="0" tabSelected="1" workbookViewId="0">
      <selection activeCell="A7" sqref="A7"/>
    </sheetView>
  </sheetViews>
  <sheetFormatPr baseColWidth="10" defaultRowHeight="12.75"/>
  <cols>
    <col min="5" max="5" width="12.7109375" bestFit="1" customWidth="1"/>
    <col min="7" max="7" width="12.7109375" bestFit="1" customWidth="1"/>
  </cols>
  <sheetData>
    <row r="1" spans="1:8">
      <c r="A1" s="3" t="s">
        <v>37</v>
      </c>
      <c r="B1" s="4"/>
      <c r="C1" s="4"/>
      <c r="D1" s="4"/>
      <c r="E1" s="4"/>
      <c r="F1" s="4"/>
      <c r="G1" s="4"/>
      <c r="H1" s="4"/>
    </row>
    <row r="2" spans="1:8">
      <c r="A2" s="5" t="s">
        <v>38</v>
      </c>
      <c r="B2" s="4"/>
      <c r="C2" s="4"/>
      <c r="D2" s="4"/>
      <c r="E2" s="4"/>
      <c r="F2" s="4"/>
      <c r="G2" s="4"/>
      <c r="H2" s="4"/>
    </row>
    <row r="3" spans="1:8">
      <c r="A3" s="5" t="s">
        <v>39</v>
      </c>
      <c r="B3" s="4"/>
      <c r="C3" s="4"/>
      <c r="D3" s="4"/>
      <c r="E3" s="4"/>
      <c r="F3" s="4"/>
      <c r="G3" s="4"/>
      <c r="H3" s="4"/>
    </row>
    <row r="4" spans="1:8">
      <c r="A4" s="5" t="s">
        <v>40</v>
      </c>
      <c r="B4" s="4"/>
      <c r="C4" s="4"/>
      <c r="D4" s="4"/>
      <c r="E4" s="4"/>
      <c r="F4" s="4"/>
      <c r="G4" s="4"/>
      <c r="H4" s="4"/>
    </row>
    <row r="5" spans="1:8">
      <c r="A5" s="5" t="s">
        <v>41</v>
      </c>
      <c r="B5" s="4"/>
      <c r="C5" s="4"/>
      <c r="D5" s="4"/>
      <c r="E5" s="4"/>
      <c r="F5" s="4"/>
      <c r="G5" s="4"/>
      <c r="H5" s="4"/>
    </row>
    <row r="6" spans="1:8">
      <c r="A6" s="93" t="s">
        <v>42</v>
      </c>
      <c r="B6" s="4"/>
      <c r="C6" s="4"/>
      <c r="D6" s="4"/>
      <c r="E6" s="4"/>
      <c r="F6" s="4"/>
      <c r="G6" s="4"/>
      <c r="H6" s="4"/>
    </row>
    <row r="7" spans="1:8" ht="18.75">
      <c r="A7" s="103"/>
      <c r="B7" s="103"/>
      <c r="C7" s="103"/>
      <c r="D7" s="103"/>
      <c r="E7" s="103"/>
      <c r="F7" s="103"/>
      <c r="G7" s="103"/>
      <c r="H7" s="103"/>
    </row>
    <row r="8" spans="1:8">
      <c r="A8" s="133" t="s">
        <v>143</v>
      </c>
      <c r="B8" s="133"/>
      <c r="C8" s="133"/>
      <c r="D8" s="133"/>
      <c r="E8" s="133"/>
      <c r="F8" s="133"/>
      <c r="G8" s="133"/>
      <c r="H8" s="133"/>
    </row>
    <row r="9" spans="1:8">
      <c r="A9" s="133"/>
      <c r="B9" s="133"/>
      <c r="C9" s="133"/>
      <c r="D9" s="133"/>
      <c r="E9" s="133"/>
      <c r="F9" s="133"/>
      <c r="G9" s="133"/>
      <c r="H9" s="133"/>
    </row>
    <row r="10" spans="1:8">
      <c r="A10" s="133"/>
      <c r="B10" s="133"/>
      <c r="C10" s="133"/>
      <c r="D10" s="133"/>
      <c r="E10" s="133"/>
      <c r="F10" s="133"/>
      <c r="G10" s="133"/>
      <c r="H10" s="133"/>
    </row>
    <row r="11" spans="1:8">
      <c r="A11" s="133"/>
      <c r="B11" s="133"/>
      <c r="C11" s="133"/>
      <c r="D11" s="133"/>
      <c r="E11" s="133"/>
      <c r="F11" s="133"/>
      <c r="G11" s="133"/>
      <c r="H11" s="133"/>
    </row>
    <row r="12" spans="1:8">
      <c r="A12" s="4"/>
      <c r="B12" s="4"/>
      <c r="C12" s="4"/>
      <c r="D12" s="4"/>
      <c r="E12" s="4"/>
      <c r="F12" s="4"/>
      <c r="G12" s="4"/>
      <c r="H12" s="4"/>
    </row>
    <row r="13" spans="1:8">
      <c r="A13" s="133" t="s">
        <v>144</v>
      </c>
      <c r="B13" s="133"/>
      <c r="C13" s="133"/>
      <c r="D13" s="133"/>
      <c r="E13" s="133"/>
      <c r="F13" s="133"/>
      <c r="G13" s="133"/>
      <c r="H13" s="133"/>
    </row>
    <row r="14" spans="1:8">
      <c r="A14" s="133"/>
      <c r="B14" s="133"/>
      <c r="C14" s="133"/>
      <c r="D14" s="133"/>
      <c r="E14" s="133"/>
      <c r="F14" s="133"/>
      <c r="G14" s="133"/>
      <c r="H14" s="133"/>
    </row>
    <row r="15" spans="1:8">
      <c r="A15" s="98"/>
      <c r="B15" s="98"/>
      <c r="C15" s="98"/>
      <c r="D15" s="98"/>
      <c r="E15" s="98"/>
      <c r="F15" s="98"/>
      <c r="G15" s="98"/>
      <c r="H15" s="98"/>
    </row>
    <row r="16" spans="1:8">
      <c r="A16" s="134" t="s">
        <v>145</v>
      </c>
      <c r="B16" s="134"/>
      <c r="C16" s="134"/>
      <c r="D16" s="134"/>
      <c r="E16" s="134"/>
      <c r="F16" s="134"/>
      <c r="G16" s="134"/>
      <c r="H16" s="134"/>
    </row>
    <row r="17" spans="1:8">
      <c r="A17" s="134"/>
      <c r="B17" s="134"/>
      <c r="C17" s="134"/>
      <c r="D17" s="134"/>
      <c r="E17" s="134"/>
      <c r="F17" s="134"/>
      <c r="G17" s="134"/>
      <c r="H17" s="134"/>
    </row>
    <row r="18" spans="1:8">
      <c r="A18" s="134"/>
      <c r="B18" s="134"/>
      <c r="C18" s="134"/>
      <c r="D18" s="134"/>
      <c r="E18" s="134"/>
      <c r="F18" s="134"/>
      <c r="G18" s="134"/>
      <c r="H18" s="134"/>
    </row>
    <row r="19" spans="1:8">
      <c r="A19" s="133" t="s">
        <v>146</v>
      </c>
      <c r="B19" s="133"/>
      <c r="C19" s="133"/>
      <c r="D19" s="133"/>
      <c r="E19" s="133"/>
      <c r="F19" s="133"/>
      <c r="G19" s="133"/>
      <c r="H19" s="133"/>
    </row>
    <row r="20" spans="1:8">
      <c r="A20" s="133"/>
      <c r="B20" s="133"/>
      <c r="C20" s="133"/>
      <c r="D20" s="133"/>
      <c r="E20" s="133"/>
      <c r="F20" s="133"/>
      <c r="G20" s="133"/>
      <c r="H20" s="133"/>
    </row>
    <row r="21" spans="1:8">
      <c r="A21" s="98" t="s">
        <v>147</v>
      </c>
      <c r="B21" s="98"/>
      <c r="C21" s="98"/>
      <c r="D21" s="98"/>
      <c r="E21" s="98"/>
      <c r="F21" s="98"/>
      <c r="G21" s="98"/>
      <c r="H21" s="98"/>
    </row>
    <row r="22" spans="1:8">
      <c r="A22" s="98" t="s">
        <v>148</v>
      </c>
      <c r="B22" s="98"/>
      <c r="C22" s="98"/>
      <c r="D22" s="98"/>
      <c r="E22" s="100">
        <v>4</v>
      </c>
      <c r="F22" s="98" t="s">
        <v>151</v>
      </c>
      <c r="G22" s="98"/>
      <c r="H22" s="98"/>
    </row>
    <row r="23" spans="1:8">
      <c r="A23" s="98" t="s">
        <v>149</v>
      </c>
      <c r="B23" s="98"/>
      <c r="C23" s="98"/>
      <c r="D23" s="98"/>
      <c r="E23" s="100">
        <v>8</v>
      </c>
      <c r="F23" s="98" t="s">
        <v>151</v>
      </c>
      <c r="G23" s="98"/>
      <c r="H23" s="98"/>
    </row>
    <row r="24" spans="1:8">
      <c r="A24" s="98" t="s">
        <v>132</v>
      </c>
      <c r="B24" s="98"/>
      <c r="C24" s="98"/>
      <c r="D24" s="98"/>
      <c r="E24" s="100">
        <v>2</v>
      </c>
      <c r="F24" s="98" t="s">
        <v>151</v>
      </c>
      <c r="G24" s="98"/>
      <c r="H24" s="98"/>
    </row>
    <row r="25" spans="1:8">
      <c r="A25" s="98" t="s">
        <v>150</v>
      </c>
      <c r="B25" s="98"/>
      <c r="C25" s="98"/>
      <c r="D25" s="98"/>
      <c r="E25" s="100">
        <v>20</v>
      </c>
      <c r="F25" s="98" t="s">
        <v>152</v>
      </c>
      <c r="G25" s="98"/>
      <c r="H25" s="98"/>
    </row>
    <row r="26" spans="1:8">
      <c r="A26" s="98" t="s">
        <v>135</v>
      </c>
      <c r="B26" s="98"/>
      <c r="C26" s="98"/>
      <c r="D26" s="98"/>
      <c r="E26" s="100">
        <v>80</v>
      </c>
      <c r="F26" s="98" t="s">
        <v>152</v>
      </c>
      <c r="G26" s="98"/>
      <c r="H26" s="98"/>
    </row>
    <row r="27" spans="1:8">
      <c r="A27" s="98"/>
      <c r="B27" s="98"/>
      <c r="C27" s="98"/>
      <c r="D27" s="98"/>
      <c r="E27" s="98"/>
      <c r="F27" s="98"/>
      <c r="G27" s="98"/>
      <c r="H27" s="98"/>
    </row>
    <row r="28" spans="1:8">
      <c r="A28" s="99" t="s">
        <v>153</v>
      </c>
      <c r="B28" s="98"/>
      <c r="C28" s="98"/>
      <c r="D28" s="98"/>
      <c r="E28" s="98"/>
      <c r="F28" s="98"/>
      <c r="G28" s="98"/>
      <c r="H28" s="98"/>
    </row>
    <row r="29" spans="1:8">
      <c r="A29" s="180" t="s">
        <v>173</v>
      </c>
      <c r="B29" s="98"/>
      <c r="C29" s="98"/>
      <c r="D29" s="98"/>
      <c r="E29" s="98"/>
      <c r="F29" s="98"/>
      <c r="G29" s="98"/>
      <c r="H29" s="98"/>
    </row>
    <row r="30" spans="1:8">
      <c r="A30" s="99" t="s">
        <v>154</v>
      </c>
      <c r="B30" s="98"/>
      <c r="C30" s="98"/>
      <c r="D30" s="98"/>
      <c r="E30" s="98"/>
      <c r="F30" s="98"/>
      <c r="G30" s="98"/>
      <c r="H30" s="98"/>
    </row>
    <row r="31" spans="1:8">
      <c r="A31" s="180" t="s">
        <v>174</v>
      </c>
      <c r="B31" s="98"/>
      <c r="C31" s="98"/>
      <c r="D31" s="98"/>
      <c r="E31" s="98"/>
      <c r="F31" s="98"/>
      <c r="G31" s="98"/>
      <c r="H31" s="98"/>
    </row>
    <row r="32" spans="1:8">
      <c r="A32" s="98"/>
      <c r="B32" s="98"/>
      <c r="C32" s="98"/>
      <c r="D32" s="98"/>
      <c r="E32" s="98"/>
      <c r="F32" s="98"/>
      <c r="G32" s="98"/>
      <c r="H32" s="98"/>
    </row>
    <row r="33" spans="1:8">
      <c r="A33" s="99" t="s">
        <v>87</v>
      </c>
      <c r="B33" s="98"/>
      <c r="C33" s="98"/>
      <c r="D33" s="98"/>
      <c r="E33" s="98"/>
      <c r="F33" s="98"/>
      <c r="G33" s="98"/>
      <c r="H33" s="98"/>
    </row>
    <row r="34" spans="1:8">
      <c r="A34" s="98" t="s">
        <v>155</v>
      </c>
      <c r="B34" s="98"/>
      <c r="C34" s="98"/>
      <c r="D34" s="98"/>
      <c r="E34" s="98"/>
      <c r="F34" s="98"/>
      <c r="G34" s="98"/>
      <c r="H34" s="98"/>
    </row>
    <row r="35" spans="1:8">
      <c r="A35" s="133" t="s">
        <v>156</v>
      </c>
      <c r="B35" s="133"/>
      <c r="C35" s="133"/>
      <c r="D35" s="133"/>
      <c r="E35" s="133"/>
      <c r="F35" s="133"/>
      <c r="G35" s="133"/>
      <c r="H35" s="133"/>
    </row>
    <row r="36" spans="1:8">
      <c r="A36" s="133"/>
      <c r="B36" s="133"/>
      <c r="C36" s="133"/>
      <c r="D36" s="133"/>
      <c r="E36" s="133"/>
      <c r="F36" s="133"/>
      <c r="G36" s="133"/>
      <c r="H36" s="133"/>
    </row>
    <row r="37" spans="1:8">
      <c r="A37" s="180" t="s">
        <v>175</v>
      </c>
      <c r="B37" s="98"/>
      <c r="C37" s="98"/>
      <c r="D37" s="98"/>
      <c r="E37" s="98"/>
      <c r="F37" s="98"/>
      <c r="G37" s="98"/>
      <c r="H37" s="98"/>
    </row>
    <row r="38" spans="1:8">
      <c r="A38" s="98" t="s">
        <v>157</v>
      </c>
      <c r="B38" s="98"/>
      <c r="C38" s="98"/>
      <c r="D38" s="98"/>
      <c r="E38" s="98"/>
      <c r="F38" s="98"/>
      <c r="G38" s="98"/>
      <c r="H38" s="98"/>
    </row>
    <row r="39" spans="1:8">
      <c r="A39" s="98" t="s">
        <v>158</v>
      </c>
      <c r="B39" s="98"/>
      <c r="C39" s="98"/>
      <c r="D39" s="98"/>
      <c r="E39" s="98"/>
      <c r="F39" s="98"/>
      <c r="G39" s="98"/>
      <c r="H39" s="98"/>
    </row>
    <row r="40" spans="1:8">
      <c r="A40" s="98" t="s">
        <v>159</v>
      </c>
      <c r="B40" s="98"/>
      <c r="C40" s="98"/>
      <c r="D40" s="98"/>
      <c r="E40" s="98"/>
      <c r="F40" s="98"/>
      <c r="G40" s="98"/>
      <c r="H40" s="98"/>
    </row>
    <row r="41" spans="1:8">
      <c r="A41" s="98"/>
      <c r="B41" s="98"/>
      <c r="C41" s="179" t="s">
        <v>13</v>
      </c>
      <c r="D41" s="98"/>
      <c r="E41" s="99" t="s">
        <v>164</v>
      </c>
      <c r="F41" s="98"/>
      <c r="G41" s="98"/>
      <c r="H41" s="98"/>
    </row>
    <row r="42" spans="1:8">
      <c r="A42" s="98" t="s">
        <v>148</v>
      </c>
      <c r="B42" s="98"/>
      <c r="C42" s="132">
        <v>26010</v>
      </c>
      <c r="D42" s="98" t="s">
        <v>161</v>
      </c>
      <c r="E42" s="100">
        <v>119437.92</v>
      </c>
      <c r="F42" s="98"/>
      <c r="G42" s="98"/>
      <c r="H42" s="98"/>
    </row>
    <row r="43" spans="1:8">
      <c r="A43" s="98" t="s">
        <v>149</v>
      </c>
      <c r="B43" s="98"/>
      <c r="C43" s="132">
        <v>9752</v>
      </c>
      <c r="D43" s="98" t="s">
        <v>161</v>
      </c>
      <c r="E43" s="100">
        <v>86285.7</v>
      </c>
      <c r="F43" s="98"/>
      <c r="G43" s="98"/>
      <c r="H43" s="98"/>
    </row>
    <row r="44" spans="1:8">
      <c r="A44" s="98" t="s">
        <v>132</v>
      </c>
      <c r="B44" s="98"/>
      <c r="C44" s="132">
        <v>11376</v>
      </c>
      <c r="D44" s="98" t="s">
        <v>162</v>
      </c>
      <c r="E44" s="100">
        <v>25482.240000000002</v>
      </c>
      <c r="F44" s="98"/>
      <c r="G44" s="98"/>
      <c r="H44" s="98"/>
    </row>
    <row r="45" spans="1:8">
      <c r="A45" s="98" t="s">
        <v>150</v>
      </c>
      <c r="B45" s="98"/>
      <c r="C45" s="132">
        <v>1620</v>
      </c>
      <c r="D45" s="98" t="s">
        <v>162</v>
      </c>
      <c r="E45" s="100">
        <v>36015.839999999997</v>
      </c>
      <c r="F45" s="98"/>
      <c r="G45" s="98"/>
      <c r="H45" s="98"/>
    </row>
    <row r="46" spans="1:8">
      <c r="A46" s="98" t="s">
        <v>135</v>
      </c>
      <c r="B46" s="98"/>
      <c r="C46" s="132">
        <v>1628</v>
      </c>
      <c r="D46" s="98" t="s">
        <v>162</v>
      </c>
      <c r="E46" s="100">
        <v>145504.13</v>
      </c>
      <c r="F46" s="98"/>
      <c r="G46" s="98"/>
      <c r="H46" s="98"/>
    </row>
    <row r="47" spans="1:8">
      <c r="A47" s="98" t="s">
        <v>160</v>
      </c>
      <c r="B47" s="98"/>
      <c r="C47" s="132">
        <v>32525</v>
      </c>
      <c r="D47" s="98" t="s">
        <v>163</v>
      </c>
      <c r="E47" s="100">
        <v>74677.399999999994</v>
      </c>
      <c r="F47" s="98"/>
      <c r="G47" s="98"/>
      <c r="H47" s="98"/>
    </row>
    <row r="48" spans="1:8">
      <c r="A48" s="98"/>
      <c r="B48" s="98"/>
      <c r="C48" s="98"/>
      <c r="D48" s="98"/>
      <c r="E48" s="98"/>
      <c r="F48" s="98"/>
      <c r="G48" s="98"/>
      <c r="H48" s="98"/>
    </row>
    <row r="49" spans="1:8">
      <c r="A49" s="97" t="s">
        <v>165</v>
      </c>
      <c r="B49" s="95"/>
      <c r="C49" s="95"/>
      <c r="D49" s="95"/>
      <c r="E49" s="95"/>
      <c r="F49" s="95"/>
      <c r="G49" s="95"/>
      <c r="H49" s="95"/>
    </row>
    <row r="50" spans="1:8">
      <c r="A50" s="95" t="s">
        <v>88</v>
      </c>
      <c r="B50" s="95"/>
      <c r="C50" s="95"/>
      <c r="D50" s="95"/>
      <c r="E50" s="95"/>
      <c r="F50" s="95"/>
      <c r="G50" s="95"/>
      <c r="H50" s="95"/>
    </row>
    <row r="51" spans="1:8">
      <c r="A51" s="95" t="s">
        <v>166</v>
      </c>
      <c r="B51" s="95"/>
      <c r="C51" s="95"/>
      <c r="D51" s="95"/>
      <c r="E51" s="95"/>
      <c r="F51" s="95"/>
      <c r="G51" s="95"/>
      <c r="H51" s="95"/>
    </row>
    <row r="52" spans="1:8">
      <c r="A52" s="95" t="s">
        <v>34</v>
      </c>
      <c r="B52" s="95"/>
      <c r="C52" s="95"/>
      <c r="D52" s="95"/>
      <c r="E52" s="95"/>
      <c r="F52" s="95"/>
      <c r="G52" s="95"/>
      <c r="H52" s="95"/>
    </row>
    <row r="53" spans="1:8">
      <c r="A53" s="95" t="s">
        <v>167</v>
      </c>
    </row>
    <row r="54" spans="1:8" ht="15.75">
      <c r="A54" s="95" t="s">
        <v>168</v>
      </c>
      <c r="B54" s="96"/>
      <c r="C54" s="96"/>
      <c r="D54" s="96"/>
      <c r="E54" s="96"/>
      <c r="F54" s="96"/>
      <c r="G54" s="96"/>
      <c r="H54" s="96"/>
    </row>
    <row r="56" spans="1:8" ht="15.75">
      <c r="A56" s="186" t="s">
        <v>177</v>
      </c>
      <c r="B56" s="186"/>
      <c r="C56" s="186"/>
      <c r="D56" s="186"/>
      <c r="E56" s="186"/>
      <c r="F56" s="186"/>
      <c r="G56" s="186"/>
      <c r="H56" s="186"/>
    </row>
    <row r="57" spans="1:8" ht="15.75">
      <c r="A57" s="186" t="s">
        <v>178</v>
      </c>
      <c r="B57" s="186"/>
      <c r="C57" s="186"/>
      <c r="D57" s="186"/>
      <c r="E57" s="186"/>
      <c r="F57" s="186"/>
      <c r="G57" s="186"/>
      <c r="H57" s="186"/>
    </row>
    <row r="58" spans="1:8" ht="15.75">
      <c r="A58" s="186" t="s">
        <v>176</v>
      </c>
      <c r="B58" s="186"/>
      <c r="C58" s="186"/>
      <c r="D58" s="186"/>
      <c r="E58" s="186"/>
      <c r="F58" s="186"/>
      <c r="G58" s="186"/>
      <c r="H58" s="186"/>
    </row>
    <row r="59" spans="1:8">
      <c r="G59" s="101"/>
    </row>
    <row r="60" spans="1:8">
      <c r="G60" s="101"/>
    </row>
    <row r="61" spans="1:8">
      <c r="G61" s="101"/>
    </row>
    <row r="62" spans="1:8">
      <c r="A62" s="181"/>
    </row>
    <row r="63" spans="1:8">
      <c r="A63" s="181"/>
    </row>
  </sheetData>
  <sheetProtection password="ED0A" sheet="1" objects="1" scenarios="1" selectLockedCells="1" selectUnlockedCells="1"/>
  <mergeCells count="8">
    <mergeCell ref="A57:H57"/>
    <mergeCell ref="A58:H58"/>
    <mergeCell ref="A8:H11"/>
    <mergeCell ref="A56:H56"/>
    <mergeCell ref="A13:H14"/>
    <mergeCell ref="A16:H18"/>
    <mergeCell ref="A19:H20"/>
    <mergeCell ref="A35:H36"/>
  </mergeCells>
  <printOptions horizontalCentered="1" verticalCentered="1"/>
  <pageMargins left="0.74803149606299213" right="0.35433070866141736" top="0.39370078740157483" bottom="0.98425196850393704" header="0" footer="0"/>
  <pageSetup scale="94"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sheetPr>
    <pageSetUpPr autoPageBreaks="0" fitToPage="1"/>
  </sheetPr>
  <dimension ref="A1:M53"/>
  <sheetViews>
    <sheetView showGridLines="0" zoomScaleNormal="100" workbookViewId="0">
      <selection activeCell="A5" sqref="A5"/>
    </sheetView>
  </sheetViews>
  <sheetFormatPr baseColWidth="10" defaultRowHeight="12.75"/>
  <cols>
    <col min="1" max="5" width="10.7109375" customWidth="1"/>
    <col min="6" max="6" width="7.5703125" customWidth="1"/>
    <col min="7" max="11" width="10.7109375" customWidth="1"/>
  </cols>
  <sheetData>
    <row r="1" spans="1:11" ht="20.25">
      <c r="A1" s="161" t="s">
        <v>68</v>
      </c>
      <c r="B1" s="161"/>
      <c r="C1" s="161"/>
      <c r="D1" s="161"/>
      <c r="E1" s="161"/>
      <c r="F1" s="161"/>
      <c r="G1" s="161"/>
      <c r="H1" s="161"/>
      <c r="I1" s="161"/>
      <c r="J1" s="161"/>
      <c r="K1" s="161"/>
    </row>
    <row r="2" spans="1:11" ht="42.75">
      <c r="A2" s="135" t="s">
        <v>67</v>
      </c>
      <c r="B2" s="135"/>
      <c r="C2" s="135"/>
      <c r="D2" s="135"/>
      <c r="E2" s="135"/>
      <c r="F2" s="135"/>
      <c r="G2" s="135"/>
      <c r="H2" s="135"/>
      <c r="I2" s="135"/>
      <c r="J2" s="135"/>
      <c r="K2" s="135"/>
    </row>
    <row r="3" spans="1:11" ht="18">
      <c r="A3" s="136" t="s">
        <v>69</v>
      </c>
      <c r="B3" s="136"/>
      <c r="C3" s="136"/>
      <c r="D3" s="136"/>
      <c r="E3" s="136"/>
      <c r="F3" s="136"/>
      <c r="G3" s="136"/>
      <c r="H3" s="136"/>
      <c r="I3" s="136"/>
      <c r="J3" s="136"/>
      <c r="K3" s="136"/>
    </row>
    <row r="4" spans="1:11" ht="18">
      <c r="A4" s="137" t="s">
        <v>118</v>
      </c>
      <c r="B4" s="137"/>
      <c r="C4" s="137"/>
      <c r="D4" s="137"/>
      <c r="E4" s="137"/>
      <c r="F4" s="137"/>
      <c r="G4" s="137"/>
      <c r="H4" s="137"/>
      <c r="I4" s="137"/>
      <c r="J4" s="137"/>
      <c r="K4" s="137"/>
    </row>
    <row r="6" spans="1:11" s="11" customFormat="1" ht="18.75" customHeight="1">
      <c r="A6" s="164" t="s">
        <v>43</v>
      </c>
      <c r="B6" s="164"/>
      <c r="C6" s="164"/>
      <c r="D6" s="164"/>
      <c r="E6" s="164"/>
      <c r="G6" s="164" t="s">
        <v>49</v>
      </c>
      <c r="H6" s="164"/>
      <c r="I6" s="164"/>
      <c r="J6" s="164"/>
      <c r="K6" s="164"/>
    </row>
    <row r="7" spans="1:11" s="11" customFormat="1" ht="18.75" customHeight="1">
      <c r="A7" s="163" t="s">
        <v>44</v>
      </c>
      <c r="B7" s="163"/>
      <c r="C7" s="163"/>
      <c r="D7" s="163"/>
      <c r="E7" s="163"/>
      <c r="G7" s="163" t="s">
        <v>44</v>
      </c>
      <c r="H7" s="163"/>
      <c r="I7" s="163"/>
      <c r="J7" s="163"/>
      <c r="K7" s="163"/>
    </row>
    <row r="8" spans="1:11" s="11" customFormat="1" ht="18.75" customHeight="1">
      <c r="A8" s="153" t="s">
        <v>119</v>
      </c>
      <c r="B8" s="154"/>
      <c r="C8" s="154"/>
      <c r="D8" s="30">
        <f>250*8</f>
        <v>2000</v>
      </c>
      <c r="E8" s="31"/>
      <c r="G8" s="153" t="s">
        <v>124</v>
      </c>
      <c r="H8" s="154"/>
      <c r="I8" s="154"/>
      <c r="J8" s="30">
        <f>21*8</f>
        <v>168</v>
      </c>
      <c r="K8" s="31"/>
    </row>
    <row r="9" spans="1:11" s="11" customFormat="1" ht="18.75" customHeight="1">
      <c r="A9" s="153" t="s">
        <v>119</v>
      </c>
      <c r="B9" s="154"/>
      <c r="C9" s="154"/>
      <c r="D9" s="32">
        <f>250*8</f>
        <v>2000</v>
      </c>
      <c r="E9" s="30">
        <f>SUM(D8:D9)</f>
        <v>4000</v>
      </c>
      <c r="G9" s="153" t="s">
        <v>124</v>
      </c>
      <c r="H9" s="154"/>
      <c r="I9" s="154"/>
      <c r="J9" s="32">
        <f>21*8</f>
        <v>168</v>
      </c>
      <c r="K9" s="30">
        <f>SUM(J8:J9)</f>
        <v>336</v>
      </c>
    </row>
    <row r="10" spans="1:11" s="11" customFormat="1" ht="18.75" customHeight="1">
      <c r="A10" s="162"/>
      <c r="B10" s="162"/>
      <c r="C10" s="162"/>
      <c r="D10" s="162"/>
      <c r="E10" s="162"/>
      <c r="G10" s="162"/>
      <c r="H10" s="162"/>
      <c r="I10" s="162"/>
      <c r="J10" s="162"/>
      <c r="K10" s="162"/>
    </row>
    <row r="11" spans="1:11" s="11" customFormat="1" ht="18.75" customHeight="1">
      <c r="A11" s="163" t="s">
        <v>45</v>
      </c>
      <c r="B11" s="163"/>
      <c r="C11" s="163"/>
      <c r="D11" s="163"/>
      <c r="E11" s="163"/>
      <c r="G11" s="163" t="s">
        <v>45</v>
      </c>
      <c r="H11" s="163"/>
      <c r="I11" s="163"/>
      <c r="J11" s="163"/>
      <c r="K11" s="163"/>
    </row>
    <row r="12" spans="1:11" s="11" customFormat="1" ht="18.75" customHeight="1">
      <c r="A12" s="34" t="s">
        <v>120</v>
      </c>
      <c r="B12" s="35"/>
      <c r="C12" s="35"/>
      <c r="D12" s="30">
        <f>250*8*5</f>
        <v>10000</v>
      </c>
      <c r="E12" s="31"/>
      <c r="G12" s="153" t="s">
        <v>125</v>
      </c>
      <c r="H12" s="154"/>
      <c r="I12" s="154"/>
      <c r="J12" s="30">
        <f>21*8*5</f>
        <v>840</v>
      </c>
      <c r="K12" s="31"/>
    </row>
    <row r="13" spans="1:11" s="11" customFormat="1" ht="18.75" customHeight="1">
      <c r="A13" s="34" t="s">
        <v>120</v>
      </c>
      <c r="B13" s="35"/>
      <c r="C13" s="35"/>
      <c r="D13" s="32">
        <f>250*8*5</f>
        <v>10000</v>
      </c>
      <c r="E13" s="30">
        <f>SUM(D12:D13)</f>
        <v>20000</v>
      </c>
      <c r="G13" s="153" t="s">
        <v>125</v>
      </c>
      <c r="H13" s="154"/>
      <c r="I13" s="154"/>
      <c r="J13" s="32">
        <f>21*8*5</f>
        <v>840</v>
      </c>
      <c r="K13" s="30">
        <f>SUM(J12:J13)</f>
        <v>1680</v>
      </c>
    </row>
    <row r="14" spans="1:11" s="11" customFormat="1" ht="18.75" customHeight="1">
      <c r="A14" s="162"/>
      <c r="B14" s="162"/>
      <c r="C14" s="162"/>
      <c r="D14" s="162"/>
      <c r="E14" s="162"/>
      <c r="G14" s="162"/>
      <c r="H14" s="162"/>
      <c r="I14" s="162"/>
      <c r="J14" s="162"/>
      <c r="K14" s="162"/>
    </row>
    <row r="15" spans="1:11" s="11" customFormat="1" ht="18.75" customHeight="1">
      <c r="A15" s="163" t="s">
        <v>50</v>
      </c>
      <c r="B15" s="163"/>
      <c r="C15" s="163"/>
      <c r="D15" s="163"/>
      <c r="E15" s="163"/>
      <c r="G15" s="163" t="s">
        <v>126</v>
      </c>
      <c r="H15" s="163"/>
      <c r="I15" s="163"/>
      <c r="J15" s="163"/>
      <c r="K15" s="163"/>
    </row>
    <row r="16" spans="1:11" s="11" customFormat="1" ht="18.75" customHeight="1">
      <c r="A16" s="34" t="s">
        <v>121</v>
      </c>
      <c r="B16" s="35"/>
      <c r="C16" s="35"/>
      <c r="D16" s="33"/>
      <c r="E16" s="30">
        <f>2500*E9</f>
        <v>10000000</v>
      </c>
      <c r="G16" s="34" t="s">
        <v>53</v>
      </c>
      <c r="H16" s="33"/>
      <c r="I16" s="36">
        <f>1000+31500</f>
        <v>32500</v>
      </c>
      <c r="J16" s="35"/>
      <c r="K16" s="35"/>
    </row>
    <row r="17" spans="1:13" s="11" customFormat="1" ht="18.75" customHeight="1">
      <c r="A17" s="35" t="s">
        <v>122</v>
      </c>
      <c r="B17" s="35"/>
      <c r="C17" s="35"/>
      <c r="D17" s="33"/>
      <c r="E17" s="30">
        <f>E16/25</f>
        <v>400000</v>
      </c>
      <c r="G17" s="34" t="s">
        <v>54</v>
      </c>
      <c r="H17" s="33"/>
      <c r="I17" s="36">
        <v>31500</v>
      </c>
      <c r="J17" s="37">
        <v>1</v>
      </c>
      <c r="K17" s="30">
        <f>I17*J17</f>
        <v>31500</v>
      </c>
      <c r="L17" s="94"/>
    </row>
    <row r="18" spans="1:13" s="11" customFormat="1" ht="18.75" customHeight="1">
      <c r="A18" s="162"/>
      <c r="B18" s="162"/>
      <c r="C18" s="162"/>
      <c r="D18" s="162"/>
      <c r="E18" s="162"/>
      <c r="G18" s="34" t="s">
        <v>55</v>
      </c>
      <c r="H18" s="33"/>
      <c r="I18" s="36">
        <f>I16-I17</f>
        <v>1000</v>
      </c>
      <c r="J18" s="37">
        <v>0.5</v>
      </c>
      <c r="K18" s="32">
        <f>I18*J18</f>
        <v>500</v>
      </c>
      <c r="L18" s="94"/>
    </row>
    <row r="19" spans="1:13" s="11" customFormat="1" ht="18.75" customHeight="1">
      <c r="A19" s="163" t="s">
        <v>46</v>
      </c>
      <c r="B19" s="163"/>
      <c r="C19" s="163"/>
      <c r="D19" s="163"/>
      <c r="E19" s="163"/>
      <c r="G19" s="35"/>
      <c r="H19" s="33"/>
      <c r="I19" s="33"/>
      <c r="J19" s="38" t="s">
        <v>83</v>
      </c>
      <c r="K19" s="30">
        <f>SUM(K17:K18)</f>
        <v>32000</v>
      </c>
      <c r="M19" s="94"/>
    </row>
    <row r="20" spans="1:13" s="11" customFormat="1" ht="18.75" customHeight="1">
      <c r="A20" s="34" t="s">
        <v>123</v>
      </c>
      <c r="B20" s="35"/>
      <c r="C20" s="35"/>
      <c r="D20" s="33"/>
      <c r="E20" s="33">
        <f>E13/E17</f>
        <v>0.05</v>
      </c>
      <c r="G20" s="35"/>
      <c r="H20" s="33"/>
      <c r="I20" s="33"/>
      <c r="J20" s="162"/>
      <c r="K20" s="162"/>
    </row>
    <row r="21" spans="1:13" s="11" customFormat="1" ht="18.75" customHeight="1">
      <c r="A21" s="162"/>
      <c r="B21" s="162"/>
      <c r="C21" s="162"/>
      <c r="D21" s="162"/>
      <c r="E21" s="162"/>
      <c r="G21" s="162"/>
      <c r="H21" s="162"/>
      <c r="I21" s="162"/>
      <c r="J21" s="162"/>
      <c r="K21" s="162"/>
    </row>
    <row r="22" spans="1:13" s="11" customFormat="1" ht="18.75" customHeight="1">
      <c r="A22" s="163" t="s">
        <v>47</v>
      </c>
      <c r="B22" s="163"/>
      <c r="C22" s="163"/>
      <c r="D22" s="163"/>
      <c r="E22" s="163"/>
      <c r="G22" s="163" t="s">
        <v>51</v>
      </c>
      <c r="H22" s="163"/>
      <c r="I22" s="163"/>
      <c r="J22" s="163"/>
      <c r="K22" s="163"/>
    </row>
    <row r="23" spans="1:13" s="11" customFormat="1" ht="18.75" customHeight="1">
      <c r="A23" s="34" t="s">
        <v>169</v>
      </c>
      <c r="B23" s="35"/>
      <c r="C23" s="35"/>
      <c r="D23" s="33"/>
      <c r="E23" s="39">
        <f>360000/E13</f>
        <v>18</v>
      </c>
      <c r="G23" s="153" t="s">
        <v>171</v>
      </c>
      <c r="H23" s="154"/>
      <c r="I23" s="154"/>
      <c r="J23" s="154"/>
      <c r="K23" s="39">
        <f>30324/K13</f>
        <v>18.05</v>
      </c>
    </row>
    <row r="24" spans="1:13" s="11" customFormat="1" ht="18.75" customHeight="1">
      <c r="A24" s="162"/>
      <c r="B24" s="162"/>
      <c r="C24" s="162"/>
      <c r="D24" s="162"/>
      <c r="E24" s="162"/>
      <c r="G24" s="162"/>
      <c r="H24" s="162"/>
      <c r="I24" s="162"/>
      <c r="J24" s="162"/>
      <c r="K24" s="162"/>
    </row>
    <row r="25" spans="1:13" s="11" customFormat="1" ht="18.75" customHeight="1">
      <c r="A25" s="163" t="s">
        <v>48</v>
      </c>
      <c r="B25" s="163"/>
      <c r="C25" s="163"/>
      <c r="D25" s="163"/>
      <c r="E25" s="163"/>
      <c r="G25" s="163" t="s">
        <v>52</v>
      </c>
      <c r="H25" s="163"/>
      <c r="I25" s="163"/>
      <c r="J25" s="163"/>
      <c r="K25" s="163"/>
    </row>
    <row r="26" spans="1:13" s="11" customFormat="1" ht="18.75" customHeight="1">
      <c r="A26" s="34" t="s">
        <v>170</v>
      </c>
      <c r="B26" s="35"/>
      <c r="C26" s="35"/>
      <c r="D26" s="33"/>
      <c r="E26" s="40">
        <f>500000/E13</f>
        <v>25</v>
      </c>
      <c r="G26" s="153" t="s">
        <v>172</v>
      </c>
      <c r="H26" s="154"/>
      <c r="I26" s="154"/>
      <c r="J26" s="154"/>
      <c r="K26" s="40">
        <f>41832/K13</f>
        <v>24.9</v>
      </c>
    </row>
    <row r="27" spans="1:13" ht="43.5" customHeight="1"/>
    <row r="28" spans="1:13" ht="22.5" customHeight="1">
      <c r="C28" s="141" t="s">
        <v>127</v>
      </c>
      <c r="D28" s="142"/>
      <c r="E28" s="142"/>
      <c r="F28" s="142"/>
      <c r="G28" s="142"/>
      <c r="H28" s="142"/>
      <c r="I28" s="143"/>
    </row>
    <row r="29" spans="1:13" ht="22.5" customHeight="1">
      <c r="C29" s="158" t="s">
        <v>1</v>
      </c>
      <c r="D29" s="159"/>
      <c r="E29" s="160"/>
      <c r="F29" s="155" t="s">
        <v>2</v>
      </c>
      <c r="G29" s="155" t="s">
        <v>13</v>
      </c>
      <c r="H29" s="157" t="s">
        <v>10</v>
      </c>
      <c r="I29" s="157"/>
    </row>
    <row r="30" spans="1:13" ht="22.5" customHeight="1">
      <c r="C30" s="158"/>
      <c r="D30" s="159"/>
      <c r="E30" s="160"/>
      <c r="F30" s="156"/>
      <c r="G30" s="156"/>
      <c r="H30" s="6" t="s">
        <v>35</v>
      </c>
      <c r="I30" s="6" t="s">
        <v>65</v>
      </c>
      <c r="J30" s="2"/>
    </row>
    <row r="31" spans="1:13" ht="24" customHeight="1">
      <c r="C31" s="138" t="s">
        <v>3</v>
      </c>
      <c r="D31" s="139"/>
      <c r="E31" s="140"/>
      <c r="F31" s="10"/>
      <c r="G31" s="10"/>
      <c r="H31" s="10"/>
      <c r="I31" s="10"/>
      <c r="J31" s="2"/>
    </row>
    <row r="32" spans="1:13" ht="24" customHeight="1">
      <c r="C32" s="147" t="s">
        <v>129</v>
      </c>
      <c r="D32" s="148"/>
      <c r="E32" s="149"/>
      <c r="F32" s="24" t="s">
        <v>130</v>
      </c>
      <c r="G32" s="20">
        <f>(25*640)/20000</f>
        <v>0.8</v>
      </c>
      <c r="H32" s="12">
        <v>4</v>
      </c>
      <c r="I32" s="12">
        <f t="shared" ref="I32:I37" si="0">G32*H32</f>
        <v>3.2</v>
      </c>
      <c r="J32" s="2"/>
    </row>
    <row r="33" spans="1:11" ht="24" customHeight="1">
      <c r="C33" s="147" t="s">
        <v>131</v>
      </c>
      <c r="D33" s="148"/>
      <c r="E33" s="149"/>
      <c r="F33" s="24" t="s">
        <v>130</v>
      </c>
      <c r="G33" s="20">
        <f>(25*240)/20000</f>
        <v>0.3</v>
      </c>
      <c r="H33" s="12">
        <v>8</v>
      </c>
      <c r="I33" s="12">
        <f t="shared" si="0"/>
        <v>2.4</v>
      </c>
      <c r="J33" s="2"/>
    </row>
    <row r="34" spans="1:11" ht="24" customHeight="1">
      <c r="C34" s="147" t="s">
        <v>132</v>
      </c>
      <c r="D34" s="148"/>
      <c r="E34" s="149"/>
      <c r="F34" s="24" t="s">
        <v>133</v>
      </c>
      <c r="G34" s="20">
        <f>(25*280)/20000</f>
        <v>0.35</v>
      </c>
      <c r="H34" s="12">
        <v>2</v>
      </c>
      <c r="I34" s="12">
        <f t="shared" si="0"/>
        <v>0.7</v>
      </c>
      <c r="J34" s="2"/>
    </row>
    <row r="35" spans="1:11" ht="24" customHeight="1">
      <c r="C35" s="147" t="s">
        <v>134</v>
      </c>
      <c r="D35" s="148"/>
      <c r="E35" s="149"/>
      <c r="F35" s="24" t="s">
        <v>133</v>
      </c>
      <c r="G35" s="20">
        <f>(25*40)/20000</f>
        <v>0.05</v>
      </c>
      <c r="H35" s="12">
        <v>20</v>
      </c>
      <c r="I35" s="12">
        <f t="shared" si="0"/>
        <v>1</v>
      </c>
      <c r="J35" s="2"/>
    </row>
    <row r="36" spans="1:11" ht="24" customHeight="1">
      <c r="C36" s="147" t="s">
        <v>135</v>
      </c>
      <c r="D36" s="148"/>
      <c r="E36" s="149"/>
      <c r="F36" s="24" t="s">
        <v>136</v>
      </c>
      <c r="G36" s="20">
        <f>(25*40)/20000</f>
        <v>0.05</v>
      </c>
      <c r="H36" s="12">
        <v>80</v>
      </c>
      <c r="I36" s="12">
        <f t="shared" si="0"/>
        <v>4</v>
      </c>
      <c r="J36" s="2"/>
    </row>
    <row r="37" spans="1:11" ht="24" customHeight="1" thickBot="1">
      <c r="C37" s="147" t="s">
        <v>137</v>
      </c>
      <c r="D37" s="148"/>
      <c r="E37" s="149"/>
      <c r="F37" s="24" t="s">
        <v>35</v>
      </c>
      <c r="G37" s="20">
        <v>1</v>
      </c>
      <c r="H37" s="12">
        <f>2100/1000</f>
        <v>2.1</v>
      </c>
      <c r="I37" s="102">
        <f t="shared" si="0"/>
        <v>2.1</v>
      </c>
      <c r="J37" s="2"/>
    </row>
    <row r="38" spans="1:11" ht="24" customHeight="1">
      <c r="C38" s="150"/>
      <c r="D38" s="151"/>
      <c r="E38" s="152"/>
      <c r="F38" s="10"/>
      <c r="G38" s="10"/>
      <c r="H38" s="130" t="s">
        <v>128</v>
      </c>
      <c r="I38" s="22">
        <f>SUM(I32:I37)</f>
        <v>13.4</v>
      </c>
      <c r="J38" s="2"/>
    </row>
    <row r="39" spans="1:11" ht="24" customHeight="1">
      <c r="C39" s="138" t="s">
        <v>4</v>
      </c>
      <c r="D39" s="139"/>
      <c r="E39" s="140"/>
      <c r="F39" s="24" t="s">
        <v>66</v>
      </c>
      <c r="G39" s="18">
        <f>E20</f>
        <v>0.05</v>
      </c>
      <c r="H39" s="12">
        <f>E23</f>
        <v>18</v>
      </c>
      <c r="I39" s="23">
        <f>G39*H39</f>
        <v>0.9</v>
      </c>
      <c r="J39" s="2"/>
    </row>
    <row r="40" spans="1:11" ht="24" customHeight="1" thickBot="1">
      <c r="C40" s="138" t="s">
        <v>6</v>
      </c>
      <c r="D40" s="139"/>
      <c r="E40" s="140"/>
      <c r="F40" s="24" t="s">
        <v>66</v>
      </c>
      <c r="G40" s="18">
        <f>E20</f>
        <v>0.05</v>
      </c>
      <c r="H40" s="12">
        <f>E26</f>
        <v>25</v>
      </c>
      <c r="I40" s="91">
        <f>G40*H40</f>
        <v>1.25</v>
      </c>
      <c r="J40" s="2"/>
    </row>
    <row r="41" spans="1:11" ht="24" customHeight="1" thickTop="1">
      <c r="C41" s="144" t="s">
        <v>138</v>
      </c>
      <c r="D41" s="145"/>
      <c r="E41" s="145"/>
      <c r="F41" s="145"/>
      <c r="G41" s="145"/>
      <c r="H41" s="146"/>
      <c r="I41" s="22">
        <f>SUM(I38:I40)</f>
        <v>15.55</v>
      </c>
      <c r="J41" s="2"/>
    </row>
    <row r="42" spans="1:11">
      <c r="F42" s="2"/>
    </row>
    <row r="43" spans="1:11" ht="18">
      <c r="A43" s="184" t="s">
        <v>179</v>
      </c>
      <c r="B43" s="185"/>
      <c r="C43" s="185"/>
      <c r="D43" s="185"/>
      <c r="E43" s="185"/>
      <c r="F43" s="185"/>
      <c r="G43" s="185"/>
      <c r="H43" s="185"/>
      <c r="I43" s="185"/>
      <c r="J43" s="185"/>
      <c r="K43" s="185"/>
    </row>
    <row r="44" spans="1:11" ht="18">
      <c r="A44" s="184" t="s">
        <v>180</v>
      </c>
      <c r="B44" s="185"/>
      <c r="C44" s="185"/>
      <c r="D44" s="185"/>
      <c r="E44" s="185"/>
      <c r="F44" s="185"/>
      <c r="G44" s="185"/>
      <c r="H44" s="185"/>
      <c r="I44" s="185"/>
      <c r="J44" s="185"/>
      <c r="K44" s="185"/>
    </row>
    <row r="52" spans="1:1">
      <c r="A52" s="181"/>
    </row>
    <row r="53" spans="1:1">
      <c r="A53" s="182"/>
    </row>
  </sheetData>
  <sheetProtection password="ED0A" sheet="1" objects="1" scenarios="1" selectLockedCells="1" selectUnlockedCells="1"/>
  <mergeCells count="53">
    <mergeCell ref="A7:E7"/>
    <mergeCell ref="A8:C8"/>
    <mergeCell ref="A9:C9"/>
    <mergeCell ref="A10:E10"/>
    <mergeCell ref="A11:E11"/>
    <mergeCell ref="C34:E34"/>
    <mergeCell ref="A24:E24"/>
    <mergeCell ref="A25:E25"/>
    <mergeCell ref="C33:E33"/>
    <mergeCell ref="G6:K6"/>
    <mergeCell ref="G7:K7"/>
    <mergeCell ref="G8:I8"/>
    <mergeCell ref="G9:I9"/>
    <mergeCell ref="G10:K10"/>
    <mergeCell ref="G11:K11"/>
    <mergeCell ref="G12:I12"/>
    <mergeCell ref="G25:K25"/>
    <mergeCell ref="G14:K14"/>
    <mergeCell ref="G15:K15"/>
    <mergeCell ref="C31:E31"/>
    <mergeCell ref="C32:E32"/>
    <mergeCell ref="A14:E14"/>
    <mergeCell ref="A15:E15"/>
    <mergeCell ref="A18:E18"/>
    <mergeCell ref="A19:E19"/>
    <mergeCell ref="A1:K1"/>
    <mergeCell ref="J20:K20"/>
    <mergeCell ref="G21:K21"/>
    <mergeCell ref="G22:K22"/>
    <mergeCell ref="G23:J23"/>
    <mergeCell ref="G24:K24"/>
    <mergeCell ref="G13:I13"/>
    <mergeCell ref="A21:E21"/>
    <mergeCell ref="A22:E22"/>
    <mergeCell ref="A6:E6"/>
    <mergeCell ref="C37:E37"/>
    <mergeCell ref="C38:E38"/>
    <mergeCell ref="C39:E39"/>
    <mergeCell ref="G26:J26"/>
    <mergeCell ref="F29:F30"/>
    <mergeCell ref="G29:G30"/>
    <mergeCell ref="H29:I29"/>
    <mergeCell ref="C29:E30"/>
    <mergeCell ref="A44:K44"/>
    <mergeCell ref="A2:K2"/>
    <mergeCell ref="A3:K3"/>
    <mergeCell ref="A4:K4"/>
    <mergeCell ref="A43:K43"/>
    <mergeCell ref="C40:E40"/>
    <mergeCell ref="C28:I28"/>
    <mergeCell ref="C41:H41"/>
    <mergeCell ref="C35:E35"/>
    <mergeCell ref="C36:E36"/>
  </mergeCells>
  <printOptions horizontalCentered="1"/>
  <pageMargins left="0.9055118110236221" right="0.39370078740157483" top="0.55118110236220474" bottom="0.74803149606299213" header="0" footer="0"/>
  <pageSetup scale="77" orientation="portrait" horizontalDpi="4294967293" r:id="rId1"/>
  <headerFooter scaleWithDoc="0" alignWithMargins="0"/>
  <rowBreaks count="1" manualBreakCount="1">
    <brk id="24" max="16383" man="1"/>
  </rowBreaks>
  <drawing r:id="rId2"/>
</worksheet>
</file>

<file path=xl/worksheets/sheet3.xml><?xml version="1.0" encoding="utf-8"?>
<worksheet xmlns="http://schemas.openxmlformats.org/spreadsheetml/2006/main" xmlns:r="http://schemas.openxmlformats.org/officeDocument/2006/relationships">
  <sheetPr>
    <pageSetUpPr autoPageBreaks="0" fitToPage="1"/>
  </sheetPr>
  <dimension ref="A1:L46"/>
  <sheetViews>
    <sheetView showGridLines="0" zoomScaleNormal="100" workbookViewId="0">
      <selection activeCell="A6" sqref="A6"/>
    </sheetView>
  </sheetViews>
  <sheetFormatPr baseColWidth="10" defaultRowHeight="12.75"/>
  <cols>
    <col min="1" max="1" width="21.28515625" customWidth="1"/>
    <col min="2" max="2" width="11.85546875" customWidth="1"/>
  </cols>
  <sheetData>
    <row r="1" spans="1:11" ht="20.25">
      <c r="A1" s="161" t="s">
        <v>68</v>
      </c>
      <c r="B1" s="161"/>
      <c r="C1" s="161"/>
      <c r="D1" s="161"/>
      <c r="E1" s="161"/>
      <c r="F1" s="161"/>
      <c r="G1" s="161"/>
      <c r="H1" s="161"/>
      <c r="I1" s="161"/>
      <c r="J1" s="161"/>
      <c r="K1" s="42"/>
    </row>
    <row r="2" spans="1:11" ht="42.75">
      <c r="A2" s="135" t="s">
        <v>67</v>
      </c>
      <c r="B2" s="135"/>
      <c r="C2" s="135"/>
      <c r="D2" s="135"/>
      <c r="E2" s="135"/>
      <c r="F2" s="135"/>
      <c r="G2" s="135"/>
      <c r="H2" s="135"/>
      <c r="I2" s="135"/>
      <c r="J2" s="135"/>
      <c r="K2" s="43"/>
    </row>
    <row r="3" spans="1:11" ht="18">
      <c r="A3" s="136" t="s">
        <v>69</v>
      </c>
      <c r="B3" s="136"/>
      <c r="C3" s="136"/>
      <c r="D3" s="136"/>
      <c r="E3" s="136"/>
      <c r="F3" s="136"/>
      <c r="G3" s="136"/>
      <c r="H3" s="136"/>
      <c r="I3" s="136"/>
      <c r="J3" s="136"/>
      <c r="K3" s="44"/>
    </row>
    <row r="4" spans="1:11" ht="18">
      <c r="A4" s="137" t="s">
        <v>118</v>
      </c>
      <c r="B4" s="137"/>
      <c r="C4" s="137"/>
      <c r="D4" s="137"/>
      <c r="E4" s="137"/>
      <c r="F4" s="137"/>
      <c r="G4" s="137"/>
      <c r="H4" s="137"/>
      <c r="I4" s="137"/>
      <c r="J4" s="137"/>
      <c r="K4" s="45"/>
    </row>
    <row r="5" spans="1:11">
      <c r="A5" s="167" t="s">
        <v>7</v>
      </c>
      <c r="B5" s="167"/>
      <c r="C5" s="167"/>
      <c r="D5" s="167"/>
      <c r="E5" s="167"/>
      <c r="F5" s="167"/>
      <c r="G5" s="167"/>
      <c r="H5" s="167"/>
      <c r="I5" s="167"/>
      <c r="J5" s="167"/>
    </row>
    <row r="6" spans="1:11">
      <c r="A6" s="46"/>
      <c r="B6" s="46"/>
      <c r="C6" s="46"/>
      <c r="D6" s="46"/>
      <c r="E6" s="46"/>
      <c r="F6" s="46"/>
      <c r="G6" s="46"/>
      <c r="H6" s="46"/>
      <c r="I6" s="46"/>
      <c r="J6" s="46"/>
    </row>
    <row r="7" spans="1:11">
      <c r="A7" s="46"/>
      <c r="B7" s="47"/>
      <c r="C7" s="47"/>
      <c r="D7" s="47"/>
      <c r="E7" s="47"/>
      <c r="F7" s="47"/>
      <c r="G7" s="47"/>
      <c r="H7" s="47"/>
      <c r="I7" s="47"/>
      <c r="J7" s="47"/>
    </row>
    <row r="8" spans="1:11" ht="26.25" customHeight="1">
      <c r="A8" s="155" t="s">
        <v>8</v>
      </c>
      <c r="B8" s="168" t="s">
        <v>57</v>
      </c>
      <c r="C8" s="168" t="s">
        <v>56</v>
      </c>
      <c r="D8" s="165" t="s">
        <v>13</v>
      </c>
      <c r="E8" s="166"/>
      <c r="F8" s="168" t="s">
        <v>9</v>
      </c>
      <c r="G8" s="165" t="s">
        <v>60</v>
      </c>
      <c r="H8" s="166"/>
      <c r="I8" s="165" t="s">
        <v>61</v>
      </c>
      <c r="J8" s="166"/>
    </row>
    <row r="9" spans="1:11" ht="26.25" customHeight="1">
      <c r="A9" s="156"/>
      <c r="B9" s="168"/>
      <c r="C9" s="168"/>
      <c r="D9" s="6" t="s">
        <v>58</v>
      </c>
      <c r="E9" s="6" t="s">
        <v>59</v>
      </c>
      <c r="F9" s="168"/>
      <c r="G9" s="6" t="s">
        <v>58</v>
      </c>
      <c r="H9" s="6" t="s">
        <v>59</v>
      </c>
      <c r="I9" s="7" t="s">
        <v>11</v>
      </c>
      <c r="J9" s="7" t="s">
        <v>12</v>
      </c>
    </row>
    <row r="10" spans="1:11" s="11" customFormat="1" ht="18.75" customHeight="1">
      <c r="A10" s="8" t="s">
        <v>62</v>
      </c>
      <c r="B10" s="9"/>
      <c r="C10" s="10"/>
      <c r="D10" s="10"/>
      <c r="E10" s="10"/>
      <c r="F10" s="10"/>
      <c r="G10" s="10"/>
      <c r="H10" s="10"/>
      <c r="I10" s="10"/>
      <c r="J10" s="10"/>
    </row>
    <row r="11" spans="1:11" s="11" customFormat="1" ht="18.75" customHeight="1">
      <c r="A11" s="21" t="s">
        <v>13</v>
      </c>
      <c r="B11" s="9"/>
      <c r="C11" s="10"/>
      <c r="D11" s="10"/>
      <c r="E11" s="10"/>
      <c r="F11" s="10"/>
      <c r="G11" s="10"/>
      <c r="H11" s="10"/>
      <c r="I11" s="12"/>
      <c r="J11" s="12"/>
    </row>
    <row r="12" spans="1:11" s="11" customFormat="1" ht="18.75" customHeight="1">
      <c r="A12" s="131" t="s">
        <v>129</v>
      </c>
      <c r="B12" s="13">
        <f>Cedulas!I16</f>
        <v>32500</v>
      </c>
      <c r="C12" s="20">
        <f>Cedulas!G32</f>
        <v>0.8</v>
      </c>
      <c r="D12" s="15">
        <f t="shared" ref="D12:D17" si="0">B12*C12</f>
        <v>26000</v>
      </c>
      <c r="E12" s="15">
        <v>26010</v>
      </c>
      <c r="F12" s="16">
        <f t="shared" ref="F12:F17" si="1">E12-D12</f>
        <v>10</v>
      </c>
      <c r="G12" s="15">
        <f>Cedulas!H32</f>
        <v>4</v>
      </c>
      <c r="H12" s="10"/>
      <c r="I12" s="12">
        <f>F12*G12</f>
        <v>40</v>
      </c>
      <c r="J12" s="12"/>
    </row>
    <row r="13" spans="1:11" s="11" customFormat="1" ht="18.75" customHeight="1">
      <c r="A13" s="131" t="s">
        <v>131</v>
      </c>
      <c r="B13" s="13">
        <f>B12</f>
        <v>32500</v>
      </c>
      <c r="C13" s="20">
        <f>Cedulas!G33</f>
        <v>0.3</v>
      </c>
      <c r="D13" s="15">
        <f t="shared" si="0"/>
        <v>9750</v>
      </c>
      <c r="E13" s="15">
        <v>9752</v>
      </c>
      <c r="F13" s="16">
        <f t="shared" si="1"/>
        <v>2</v>
      </c>
      <c r="G13" s="15">
        <f>Cedulas!H33</f>
        <v>8</v>
      </c>
      <c r="H13" s="10"/>
      <c r="I13" s="12">
        <f>F13*G13</f>
        <v>16</v>
      </c>
      <c r="J13" s="12"/>
    </row>
    <row r="14" spans="1:11" s="11" customFormat="1" ht="18.75" customHeight="1">
      <c r="A14" s="131" t="s">
        <v>132</v>
      </c>
      <c r="B14" s="13">
        <f>B13</f>
        <v>32500</v>
      </c>
      <c r="C14" s="20">
        <f>Cedulas!G34</f>
        <v>0.35</v>
      </c>
      <c r="D14" s="15">
        <f t="shared" si="0"/>
        <v>11375</v>
      </c>
      <c r="E14" s="15">
        <v>11376</v>
      </c>
      <c r="F14" s="16">
        <f t="shared" si="1"/>
        <v>1</v>
      </c>
      <c r="G14" s="15">
        <f>Cedulas!H34</f>
        <v>2</v>
      </c>
      <c r="H14" s="10"/>
      <c r="I14" s="12">
        <f>F14*G14</f>
        <v>2</v>
      </c>
      <c r="J14" s="12"/>
    </row>
    <row r="15" spans="1:11" s="11" customFormat="1" ht="18.75" customHeight="1">
      <c r="A15" s="131" t="s">
        <v>134</v>
      </c>
      <c r="B15" s="13">
        <f>B14</f>
        <v>32500</v>
      </c>
      <c r="C15" s="20">
        <f>Cedulas!G35</f>
        <v>0.05</v>
      </c>
      <c r="D15" s="15">
        <f t="shared" si="0"/>
        <v>1625</v>
      </c>
      <c r="E15" s="15">
        <v>1620</v>
      </c>
      <c r="F15" s="16">
        <f t="shared" si="1"/>
        <v>-5</v>
      </c>
      <c r="G15" s="15">
        <f>Cedulas!H35</f>
        <v>20</v>
      </c>
      <c r="H15" s="10"/>
      <c r="I15" s="12"/>
      <c r="J15" s="12">
        <f>-(F15*G15)</f>
        <v>100</v>
      </c>
    </row>
    <row r="16" spans="1:11" s="11" customFormat="1" ht="18.75" customHeight="1">
      <c r="A16" s="131" t="s">
        <v>139</v>
      </c>
      <c r="B16" s="13">
        <f>B15</f>
        <v>32500</v>
      </c>
      <c r="C16" s="20">
        <f>Cedulas!G36</f>
        <v>0.05</v>
      </c>
      <c r="D16" s="15">
        <f t="shared" si="0"/>
        <v>1625</v>
      </c>
      <c r="E16" s="15">
        <v>1628</v>
      </c>
      <c r="F16" s="16">
        <f t="shared" si="1"/>
        <v>3</v>
      </c>
      <c r="G16" s="15">
        <f>Cedulas!H36</f>
        <v>80</v>
      </c>
      <c r="H16" s="10"/>
      <c r="I16" s="12">
        <f>F16*G16</f>
        <v>240</v>
      </c>
      <c r="J16" s="12"/>
    </row>
    <row r="17" spans="1:12" s="11" customFormat="1" ht="18.75" customHeight="1" thickBot="1">
      <c r="A17" s="131" t="s">
        <v>137</v>
      </c>
      <c r="B17" s="13">
        <f>B16</f>
        <v>32500</v>
      </c>
      <c r="C17" s="20">
        <f>Cedulas!G37</f>
        <v>1</v>
      </c>
      <c r="D17" s="15">
        <f t="shared" si="0"/>
        <v>32500</v>
      </c>
      <c r="E17" s="15">
        <v>32525</v>
      </c>
      <c r="F17" s="16">
        <f t="shared" si="1"/>
        <v>25</v>
      </c>
      <c r="G17" s="15">
        <f>Cedulas!H37</f>
        <v>2.1</v>
      </c>
      <c r="H17" s="10"/>
      <c r="I17" s="102">
        <f>F17*G17</f>
        <v>52.5</v>
      </c>
      <c r="J17" s="102"/>
    </row>
    <row r="18" spans="1:12" s="11" customFormat="1" ht="18.75" customHeight="1">
      <c r="A18" s="10"/>
      <c r="B18" s="9"/>
      <c r="C18" s="10"/>
      <c r="D18" s="10"/>
      <c r="E18" s="10"/>
      <c r="F18" s="10"/>
      <c r="G18" s="10"/>
      <c r="H18" s="41" t="s">
        <v>70</v>
      </c>
      <c r="I18" s="26">
        <f>SUM(I12:I17)</f>
        <v>350.5</v>
      </c>
      <c r="J18" s="26">
        <f>SUM(J12:J17)</f>
        <v>100</v>
      </c>
      <c r="L18" s="77"/>
    </row>
    <row r="19" spans="1:12" s="11" customFormat="1" ht="18.75" customHeight="1">
      <c r="A19" s="21" t="s">
        <v>60</v>
      </c>
      <c r="B19" s="9"/>
      <c r="C19" s="10"/>
      <c r="D19" s="10"/>
      <c r="E19" s="10"/>
      <c r="F19" s="10"/>
      <c r="G19" s="10"/>
      <c r="H19" s="10"/>
      <c r="I19" s="12"/>
      <c r="J19" s="12"/>
    </row>
    <row r="20" spans="1:12" s="11" customFormat="1" ht="18.75" customHeight="1">
      <c r="A20" s="10" t="str">
        <f t="shared" ref="A20:A25" si="2">A12</f>
        <v>Grasa Vegetal</v>
      </c>
      <c r="B20" s="13"/>
      <c r="C20" s="10"/>
      <c r="D20" s="17">
        <f>Cedulas!H32</f>
        <v>4</v>
      </c>
      <c r="E20" s="17">
        <f>(119437.92/1.12)/26010</f>
        <v>4.0999999999999996</v>
      </c>
      <c r="F20" s="15">
        <f t="shared" ref="F20:F25" si="3">E20-D20</f>
        <v>9.9999999999999645E-2</v>
      </c>
      <c r="G20" s="14"/>
      <c r="H20" s="15">
        <f t="shared" ref="H20:H25" si="4">E12</f>
        <v>26010</v>
      </c>
      <c r="I20" s="12">
        <f>F20*H20</f>
        <v>2600.9999999999909</v>
      </c>
      <c r="J20" s="12"/>
    </row>
    <row r="21" spans="1:12" s="11" customFormat="1" ht="18.75" customHeight="1">
      <c r="A21" s="10" t="str">
        <f t="shared" si="2"/>
        <v>Grasa Animal</v>
      </c>
      <c r="B21" s="13"/>
      <c r="C21" s="10"/>
      <c r="D21" s="17">
        <f>Cedulas!H33</f>
        <v>8</v>
      </c>
      <c r="E21" s="17">
        <f>(86285.7/1.12)/9752</f>
        <v>7.9000003662252425</v>
      </c>
      <c r="F21" s="15">
        <f t="shared" si="3"/>
        <v>-9.9999633774757513E-2</v>
      </c>
      <c r="G21" s="14"/>
      <c r="H21" s="15">
        <f t="shared" si="4"/>
        <v>9752</v>
      </c>
      <c r="I21" s="12"/>
      <c r="J21" s="12">
        <f>-(F21*H21)</f>
        <v>975.19642857143526</v>
      </c>
    </row>
    <row r="22" spans="1:12" s="11" customFormat="1" ht="18.75" customHeight="1">
      <c r="A22" s="10" t="str">
        <f t="shared" si="2"/>
        <v>Soda Cáustica</v>
      </c>
      <c r="B22" s="13"/>
      <c r="C22" s="10"/>
      <c r="D22" s="17">
        <f>Cedulas!H34</f>
        <v>2</v>
      </c>
      <c r="E22" s="17">
        <f>(25482.24/1.12)/11376</f>
        <v>2</v>
      </c>
      <c r="F22" s="15">
        <f t="shared" si="3"/>
        <v>0</v>
      </c>
      <c r="G22" s="14"/>
      <c r="H22" s="15">
        <f t="shared" si="4"/>
        <v>11376</v>
      </c>
      <c r="I22" s="12">
        <f>F22*H22</f>
        <v>0</v>
      </c>
      <c r="J22" s="12">
        <f>-(F22*H22)</f>
        <v>0</v>
      </c>
    </row>
    <row r="23" spans="1:12" s="11" customFormat="1" ht="18.75" customHeight="1">
      <c r="A23" s="10" t="str">
        <f t="shared" si="2"/>
        <v>Dioxido de Titanio</v>
      </c>
      <c r="B23" s="13"/>
      <c r="C23" s="10"/>
      <c r="D23" s="17">
        <f>Cedulas!H35</f>
        <v>20</v>
      </c>
      <c r="E23" s="17">
        <f>(36015.84/1.12)/1620</f>
        <v>19.849999999999994</v>
      </c>
      <c r="F23" s="15">
        <f t="shared" si="3"/>
        <v>-0.15000000000000568</v>
      </c>
      <c r="G23" s="14"/>
      <c r="H23" s="15">
        <f t="shared" si="4"/>
        <v>1620</v>
      </c>
      <c r="I23" s="12"/>
      <c r="J23" s="12">
        <f>-(F23*H23)</f>
        <v>243.00000000000921</v>
      </c>
    </row>
    <row r="24" spans="1:12" s="11" customFormat="1" ht="18.75" customHeight="1">
      <c r="A24" s="10" t="str">
        <f t="shared" si="2"/>
        <v>Colorante Aromatizador</v>
      </c>
      <c r="B24" s="13"/>
      <c r="C24" s="10"/>
      <c r="D24" s="17">
        <f>Cedulas!H36</f>
        <v>80</v>
      </c>
      <c r="E24" s="17">
        <f>(145504.13/1.12)/1628</f>
        <v>79.800001096876088</v>
      </c>
      <c r="F24" s="15">
        <f t="shared" si="3"/>
        <v>-0.19999890312391244</v>
      </c>
      <c r="G24" s="14"/>
      <c r="H24" s="15">
        <f t="shared" si="4"/>
        <v>1628</v>
      </c>
      <c r="I24" s="12"/>
      <c r="J24" s="12">
        <f>-(F24*H24)</f>
        <v>325.59821428572945</v>
      </c>
    </row>
    <row r="25" spans="1:12" s="11" customFormat="1" ht="18.75" customHeight="1" thickBot="1">
      <c r="A25" s="10" t="str">
        <f t="shared" si="2"/>
        <v>Caja de Carton</v>
      </c>
      <c r="B25" s="13"/>
      <c r="C25" s="10"/>
      <c r="D25" s="17">
        <f>Cedulas!H37</f>
        <v>2.1</v>
      </c>
      <c r="E25" s="17">
        <f>(74677.4/1.12)/32525</f>
        <v>2.0499999999999994</v>
      </c>
      <c r="F25" s="15">
        <f t="shared" si="3"/>
        <v>-5.0000000000000711E-2</v>
      </c>
      <c r="G25" s="14"/>
      <c r="H25" s="15">
        <f t="shared" si="4"/>
        <v>32525</v>
      </c>
      <c r="I25" s="102"/>
      <c r="J25" s="102">
        <f>-(F25*H25)</f>
        <v>1626.2500000000232</v>
      </c>
    </row>
    <row r="26" spans="1:12" s="11" customFormat="1" ht="18.75" customHeight="1">
      <c r="A26" s="10"/>
      <c r="B26" s="10"/>
      <c r="C26" s="10"/>
      <c r="D26" s="10"/>
      <c r="E26" s="10"/>
      <c r="F26" s="10"/>
      <c r="G26" s="10"/>
      <c r="H26" s="41" t="s">
        <v>71</v>
      </c>
      <c r="I26" s="26">
        <f>SUM(I20:I25)</f>
        <v>2600.9999999999909</v>
      </c>
      <c r="J26" s="26">
        <f>SUM(J20:J25)</f>
        <v>3170.0446428571968</v>
      </c>
      <c r="K26" s="77"/>
      <c r="L26" s="77"/>
    </row>
    <row r="27" spans="1:12" s="11" customFormat="1" ht="18.75" customHeight="1">
      <c r="A27" s="8" t="s">
        <v>63</v>
      </c>
      <c r="B27" s="25" t="s">
        <v>36</v>
      </c>
      <c r="C27" s="25" t="s">
        <v>33</v>
      </c>
      <c r="D27" s="25" t="s">
        <v>5</v>
      </c>
      <c r="E27" s="25" t="s">
        <v>5</v>
      </c>
      <c r="F27" s="10"/>
      <c r="G27" s="10"/>
      <c r="H27" s="10"/>
      <c r="I27" s="12"/>
      <c r="J27" s="12"/>
    </row>
    <row r="28" spans="1:12" s="11" customFormat="1" ht="18.75" customHeight="1">
      <c r="A28" s="8" t="s">
        <v>13</v>
      </c>
      <c r="B28" s="13">
        <f>Cedulas!K19</f>
        <v>32000</v>
      </c>
      <c r="C28" s="19">
        <f>Cedulas!E20</f>
        <v>0.05</v>
      </c>
      <c r="D28" s="13">
        <f>B28*C28</f>
        <v>1600</v>
      </c>
      <c r="E28" s="13">
        <f>Cedulas!K13</f>
        <v>1680</v>
      </c>
      <c r="F28" s="13">
        <f>E28-D28</f>
        <v>80</v>
      </c>
      <c r="G28" s="15">
        <f>Cedulas!E23</f>
        <v>18</v>
      </c>
      <c r="H28" s="14"/>
      <c r="I28" s="23">
        <f>F28*G28</f>
        <v>1440</v>
      </c>
      <c r="J28" s="23"/>
    </row>
    <row r="29" spans="1:12" s="11" customFormat="1" ht="18.75" customHeight="1">
      <c r="A29" s="8" t="s">
        <v>60</v>
      </c>
      <c r="B29" s="15"/>
      <c r="C29" s="19"/>
      <c r="D29" s="15">
        <f>G28</f>
        <v>18</v>
      </c>
      <c r="E29" s="15">
        <f>Cedulas!K23</f>
        <v>18.05</v>
      </c>
      <c r="F29" s="15">
        <f>E29-D29</f>
        <v>5.0000000000000711E-2</v>
      </c>
      <c r="G29" s="14"/>
      <c r="H29" s="13">
        <f>E28</f>
        <v>1680</v>
      </c>
      <c r="I29" s="23">
        <f>F29*H29</f>
        <v>84.000000000001194</v>
      </c>
      <c r="J29" s="23"/>
    </row>
    <row r="30" spans="1:12" s="11" customFormat="1" ht="18.75" customHeight="1">
      <c r="A30" s="10"/>
      <c r="B30" s="12"/>
      <c r="C30" s="18"/>
      <c r="D30" s="12"/>
      <c r="E30" s="12"/>
      <c r="F30" s="14"/>
      <c r="G30" s="14"/>
      <c r="H30" s="14"/>
      <c r="I30" s="12"/>
      <c r="J30" s="12"/>
    </row>
    <row r="31" spans="1:12" s="11" customFormat="1" ht="18.75" customHeight="1">
      <c r="A31" s="8" t="s">
        <v>64</v>
      </c>
      <c r="B31" s="25" t="s">
        <v>36</v>
      </c>
      <c r="C31" s="25" t="s">
        <v>33</v>
      </c>
      <c r="D31" s="25" t="s">
        <v>5</v>
      </c>
      <c r="E31" s="25" t="s">
        <v>5</v>
      </c>
      <c r="F31" s="14"/>
      <c r="G31" s="14"/>
      <c r="H31" s="14"/>
      <c r="I31" s="12"/>
      <c r="J31" s="12"/>
    </row>
    <row r="32" spans="1:12" s="11" customFormat="1" ht="18.75" customHeight="1">
      <c r="A32" s="8" t="s">
        <v>13</v>
      </c>
      <c r="B32" s="13">
        <f>B28</f>
        <v>32000</v>
      </c>
      <c r="C32" s="15">
        <f>C28</f>
        <v>0.05</v>
      </c>
      <c r="D32" s="13">
        <f>D28</f>
        <v>1600</v>
      </c>
      <c r="E32" s="13">
        <f>E28</f>
        <v>1680</v>
      </c>
      <c r="F32" s="13">
        <f>F28</f>
        <v>80</v>
      </c>
      <c r="G32" s="15">
        <f>Cedulas!E26</f>
        <v>25</v>
      </c>
      <c r="H32" s="14"/>
      <c r="I32" s="23">
        <f>F32*G32</f>
        <v>2000</v>
      </c>
      <c r="J32" s="23"/>
    </row>
    <row r="33" spans="1:11" s="11" customFormat="1" ht="18.75" customHeight="1" thickBot="1">
      <c r="A33" s="8" t="s">
        <v>60</v>
      </c>
      <c r="B33" s="12"/>
      <c r="C33" s="10"/>
      <c r="D33" s="15">
        <f>G32</f>
        <v>25</v>
      </c>
      <c r="E33" s="15">
        <f>Cedulas!K26</f>
        <v>24.9</v>
      </c>
      <c r="F33" s="15">
        <f>E33-D33</f>
        <v>-0.10000000000000142</v>
      </c>
      <c r="G33" s="14"/>
      <c r="H33" s="13">
        <f>E32</f>
        <v>1680</v>
      </c>
      <c r="I33" s="28"/>
      <c r="J33" s="28">
        <f>-(F33*H33)</f>
        <v>168.00000000000239</v>
      </c>
    </row>
    <row r="34" spans="1:11" s="11" customFormat="1" ht="18.75" customHeight="1">
      <c r="A34" s="10"/>
      <c r="B34" s="10"/>
      <c r="C34" s="10"/>
      <c r="D34" s="10"/>
      <c r="E34" s="10"/>
      <c r="F34" s="10"/>
      <c r="G34" s="10"/>
      <c r="H34" s="41" t="s">
        <v>72</v>
      </c>
      <c r="I34" s="26">
        <f>I18+I26+I28+I29+I32+I33</f>
        <v>6475.4999999999918</v>
      </c>
      <c r="J34" s="26">
        <f>J18+J26+J28+J29+J32+J33</f>
        <v>3438.0446428571991</v>
      </c>
    </row>
    <row r="35" spans="1:11" s="11" customFormat="1" ht="18.75" customHeight="1" thickBot="1">
      <c r="A35" s="10"/>
      <c r="B35" s="10"/>
      <c r="C35" s="10"/>
      <c r="D35" s="10"/>
      <c r="E35" s="10"/>
      <c r="F35" s="10"/>
      <c r="G35" s="10"/>
      <c r="H35" s="41" t="s">
        <v>85</v>
      </c>
      <c r="I35" s="27"/>
      <c r="J35" s="27">
        <f>I34-J34</f>
        <v>3037.4553571427928</v>
      </c>
    </row>
    <row r="36" spans="1:11" s="11" customFormat="1" ht="18.75" customHeight="1" thickBot="1">
      <c r="A36" s="10"/>
      <c r="B36" s="10"/>
      <c r="C36" s="10"/>
      <c r="D36" s="10"/>
      <c r="E36" s="10"/>
      <c r="F36" s="10"/>
      <c r="G36" s="10"/>
      <c r="H36" s="41" t="s">
        <v>73</v>
      </c>
      <c r="I36" s="29">
        <f>SUM(I34:I35)</f>
        <v>6475.4999999999918</v>
      </c>
      <c r="J36" s="29">
        <f>SUM(J34:J35)</f>
        <v>6475.4999999999918</v>
      </c>
    </row>
    <row r="37" spans="1:11" ht="13.5" thickTop="1"/>
    <row r="38" spans="1:11" ht="18">
      <c r="A38" s="184" t="s">
        <v>182</v>
      </c>
      <c r="B38" s="184"/>
      <c r="C38" s="184"/>
      <c r="D38" s="184"/>
      <c r="E38" s="184"/>
      <c r="F38" s="184"/>
      <c r="G38" s="184"/>
      <c r="H38" s="184"/>
      <c r="I38" s="184"/>
      <c r="J38" s="184"/>
      <c r="K38" s="48"/>
    </row>
    <row r="39" spans="1:11" ht="18">
      <c r="A39" s="184" t="s">
        <v>183</v>
      </c>
      <c r="B39" s="184"/>
      <c r="C39" s="184"/>
      <c r="D39" s="184"/>
      <c r="E39" s="184"/>
      <c r="F39" s="184"/>
      <c r="G39" s="184"/>
      <c r="H39" s="184"/>
      <c r="I39" s="184"/>
      <c r="J39" s="184"/>
      <c r="K39" s="49"/>
    </row>
    <row r="40" spans="1:11" ht="18">
      <c r="A40" s="184" t="s">
        <v>181</v>
      </c>
      <c r="B40" s="184"/>
      <c r="C40" s="184"/>
      <c r="D40" s="184"/>
      <c r="E40" s="184"/>
      <c r="F40" s="184"/>
      <c r="G40" s="184"/>
      <c r="H40" s="184"/>
      <c r="I40" s="184"/>
      <c r="J40" s="184"/>
    </row>
    <row r="45" spans="1:11">
      <c r="A45" s="181"/>
    </row>
    <row r="46" spans="1:11">
      <c r="A46" s="182"/>
    </row>
  </sheetData>
  <sheetProtection password="ED0A" sheet="1" objects="1" scenarios="1" selectLockedCells="1" selectUnlockedCells="1"/>
  <mergeCells count="15">
    <mergeCell ref="A8:A9"/>
    <mergeCell ref="F8:F9"/>
    <mergeCell ref="G8:H8"/>
    <mergeCell ref="A38:J38"/>
    <mergeCell ref="A40:J40"/>
    <mergeCell ref="A39:J39"/>
    <mergeCell ref="I8:J8"/>
    <mergeCell ref="A1:J1"/>
    <mergeCell ref="A2:J2"/>
    <mergeCell ref="A3:J3"/>
    <mergeCell ref="A4:J4"/>
    <mergeCell ref="A5:J5"/>
    <mergeCell ref="B8:B9"/>
    <mergeCell ref="C8:C9"/>
    <mergeCell ref="D8:E8"/>
  </mergeCells>
  <printOptions horizontalCentered="1" verticalCentered="1"/>
  <pageMargins left="0.55118110236220474" right="0.15748031496062992" top="0.55118110236220474" bottom="0.74803149606299213" header="0" footer="0"/>
  <pageSetup scale="8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sheetPr>
    <pageSetUpPr autoPageBreaks="0" fitToPage="1"/>
  </sheetPr>
  <dimension ref="A1:J39"/>
  <sheetViews>
    <sheetView showGridLines="0" workbookViewId="0">
      <selection activeCell="B6" sqref="B6"/>
    </sheetView>
  </sheetViews>
  <sheetFormatPr baseColWidth="10" defaultRowHeight="12.75"/>
  <cols>
    <col min="1" max="1" width="6.140625" customWidth="1"/>
    <col min="2" max="2" width="42.5703125" customWidth="1"/>
    <col min="3" max="4" width="12.85546875" customWidth="1"/>
    <col min="5" max="5" width="12.85546875" style="1" customWidth="1"/>
  </cols>
  <sheetData>
    <row r="1" spans="1:8">
      <c r="A1" s="175" t="s">
        <v>68</v>
      </c>
      <c r="B1" s="175"/>
      <c r="C1" s="175"/>
      <c r="D1" s="175"/>
      <c r="E1" s="175"/>
      <c r="F1" s="52"/>
      <c r="G1" s="52"/>
      <c r="H1" s="52"/>
    </row>
    <row r="2" spans="1:8" ht="31.5">
      <c r="A2" s="176" t="s">
        <v>67</v>
      </c>
      <c r="B2" s="176"/>
      <c r="C2" s="176"/>
      <c r="D2" s="176"/>
      <c r="E2" s="176"/>
      <c r="F2" s="53"/>
      <c r="G2" s="53"/>
      <c r="H2" s="53"/>
    </row>
    <row r="3" spans="1:8">
      <c r="A3" s="177" t="s">
        <v>69</v>
      </c>
      <c r="B3" s="177"/>
      <c r="C3" s="177"/>
      <c r="D3" s="177"/>
      <c r="E3" s="177"/>
      <c r="F3" s="54"/>
      <c r="G3" s="54"/>
      <c r="H3" s="54"/>
    </row>
    <row r="4" spans="1:8">
      <c r="A4" s="175" t="s">
        <v>118</v>
      </c>
      <c r="B4" s="175"/>
      <c r="C4" s="175"/>
      <c r="D4" s="175"/>
      <c r="E4" s="175"/>
      <c r="F4" s="52"/>
      <c r="G4" s="52"/>
      <c r="H4" s="52"/>
    </row>
    <row r="5" spans="1:8">
      <c r="A5" s="178" t="s">
        <v>14</v>
      </c>
      <c r="B5" s="178"/>
      <c r="C5" s="178"/>
      <c r="D5" s="178"/>
      <c r="E5" s="178"/>
      <c r="F5" s="55"/>
      <c r="G5" s="55"/>
      <c r="H5" s="55"/>
    </row>
    <row r="6" spans="1:8">
      <c r="A6" s="46"/>
      <c r="B6" s="46"/>
      <c r="C6" s="46"/>
      <c r="D6" s="46"/>
      <c r="E6" s="46"/>
      <c r="F6" s="46"/>
      <c r="G6" s="46"/>
      <c r="H6" s="46"/>
    </row>
    <row r="7" spans="1:8" s="11" customFormat="1" ht="24" customHeight="1">
      <c r="A7" s="169"/>
      <c r="B7" s="170"/>
      <c r="C7" s="170"/>
      <c r="D7" s="170"/>
      <c r="E7" s="171"/>
    </row>
    <row r="8" spans="1:8" s="11" customFormat="1" ht="24" customHeight="1">
      <c r="A8" s="172"/>
      <c r="B8" s="173"/>
      <c r="C8" s="173"/>
      <c r="D8" s="173"/>
      <c r="E8" s="174"/>
    </row>
    <row r="9" spans="1:8" s="11" customFormat="1" ht="24" customHeight="1">
      <c r="A9" s="75"/>
      <c r="B9" s="56" t="s">
        <v>0</v>
      </c>
      <c r="C9" s="64"/>
      <c r="D9" s="68"/>
      <c r="E9" s="65">
        <f>25000*(28/1.12)</f>
        <v>624999.99999999988</v>
      </c>
    </row>
    <row r="10" spans="1:8" s="11" customFormat="1" ht="24" customHeight="1">
      <c r="A10" s="75"/>
      <c r="B10" s="56" t="s">
        <v>140</v>
      </c>
      <c r="C10" s="66"/>
      <c r="D10" s="69"/>
      <c r="E10" s="57"/>
    </row>
    <row r="11" spans="1:8" s="11" customFormat="1" ht="24" customHeight="1">
      <c r="A11" s="75" t="s">
        <v>15</v>
      </c>
      <c r="B11" s="56" t="s">
        <v>16</v>
      </c>
      <c r="C11" s="66"/>
      <c r="D11" s="69"/>
      <c r="E11" s="57">
        <f>25000*Cedulas!I41</f>
        <v>388750</v>
      </c>
    </row>
    <row r="12" spans="1:8" s="11" customFormat="1" ht="24" customHeight="1" thickBot="1">
      <c r="A12" s="75"/>
      <c r="B12" s="56" t="s">
        <v>141</v>
      </c>
      <c r="C12" s="66"/>
      <c r="D12" s="69"/>
      <c r="E12" s="63"/>
    </row>
    <row r="13" spans="1:8" s="11" customFormat="1" ht="24" customHeight="1">
      <c r="A13" s="75"/>
      <c r="B13" s="61" t="s">
        <v>17</v>
      </c>
      <c r="C13" s="66"/>
      <c r="D13" s="69"/>
      <c r="E13" s="57">
        <f>E9-E11</f>
        <v>236249.99999999988</v>
      </c>
    </row>
    <row r="14" spans="1:8" s="11" customFormat="1" ht="24" customHeight="1">
      <c r="A14" s="75" t="s">
        <v>18</v>
      </c>
      <c r="B14" s="61" t="s">
        <v>19</v>
      </c>
      <c r="C14" s="66"/>
      <c r="D14" s="69"/>
      <c r="E14" s="57"/>
    </row>
    <row r="15" spans="1:8" s="11" customFormat="1" ht="24" customHeight="1">
      <c r="A15" s="75" t="s">
        <v>15</v>
      </c>
      <c r="B15" s="62" t="s">
        <v>74</v>
      </c>
      <c r="C15" s="66"/>
      <c r="D15" s="70">
        <f>SUM(C16:C21)</f>
        <v>6475.4999999999918</v>
      </c>
      <c r="E15" s="57"/>
    </row>
    <row r="16" spans="1:8" s="11" customFormat="1" ht="24" customHeight="1">
      <c r="A16" s="75"/>
      <c r="B16" s="56" t="s">
        <v>75</v>
      </c>
      <c r="C16" s="60">
        <f>Ced.Variaciones!I18</f>
        <v>350.5</v>
      </c>
      <c r="D16" s="69"/>
      <c r="E16" s="57"/>
    </row>
    <row r="17" spans="1:7" s="11" customFormat="1" ht="24" customHeight="1">
      <c r="A17" s="75"/>
      <c r="B17" s="56" t="s">
        <v>76</v>
      </c>
      <c r="C17" s="60">
        <f>Ced.Variaciones!I26</f>
        <v>2600.9999999999909</v>
      </c>
      <c r="D17" s="69"/>
      <c r="E17" s="57"/>
    </row>
    <row r="18" spans="1:7" s="11" customFormat="1" ht="24" customHeight="1">
      <c r="A18" s="75"/>
      <c r="B18" s="56" t="s">
        <v>78</v>
      </c>
      <c r="C18" s="60">
        <f>Ced.Variaciones!I28</f>
        <v>1440</v>
      </c>
      <c r="D18" s="69"/>
      <c r="E18" s="57"/>
    </row>
    <row r="19" spans="1:7" s="11" customFormat="1" ht="24" customHeight="1">
      <c r="A19" s="75"/>
      <c r="B19" s="56" t="s">
        <v>77</v>
      </c>
      <c r="C19" s="60">
        <f>Ced.Variaciones!I29</f>
        <v>84.000000000001194</v>
      </c>
      <c r="D19" s="69"/>
      <c r="E19" s="57"/>
    </row>
    <row r="20" spans="1:7" s="11" customFormat="1" ht="24" customHeight="1">
      <c r="A20" s="75"/>
      <c r="B20" s="56" t="s">
        <v>79</v>
      </c>
      <c r="C20" s="60">
        <f>Ced.Variaciones!I32</f>
        <v>2000</v>
      </c>
      <c r="D20" s="69"/>
      <c r="E20" s="57"/>
    </row>
    <row r="21" spans="1:7" s="11" customFormat="1" ht="24" customHeight="1" thickBot="1">
      <c r="A21" s="75"/>
      <c r="B21" s="56" t="s">
        <v>80</v>
      </c>
      <c r="C21" s="67">
        <f>Ced.Variaciones!I33</f>
        <v>0</v>
      </c>
      <c r="D21" s="69"/>
      <c r="E21" s="57"/>
    </row>
    <row r="22" spans="1:7" s="11" customFormat="1" ht="24" customHeight="1">
      <c r="A22" s="75" t="s">
        <v>82</v>
      </c>
      <c r="B22" s="62" t="s">
        <v>81</v>
      </c>
      <c r="C22" s="66"/>
      <c r="D22" s="70">
        <f>SUM(C23:C28)</f>
        <v>3438.0446428571991</v>
      </c>
      <c r="E22" s="57"/>
    </row>
    <row r="23" spans="1:7" s="11" customFormat="1" ht="24" customHeight="1">
      <c r="A23" s="75"/>
      <c r="B23" s="56" t="s">
        <v>75</v>
      </c>
      <c r="C23" s="60">
        <f>Ced.Variaciones!J18</f>
        <v>100</v>
      </c>
      <c r="D23" s="69"/>
      <c r="E23" s="57"/>
    </row>
    <row r="24" spans="1:7" s="11" customFormat="1" ht="24" customHeight="1">
      <c r="A24" s="75"/>
      <c r="B24" s="56" t="s">
        <v>76</v>
      </c>
      <c r="C24" s="60">
        <f>Ced.Variaciones!J26</f>
        <v>3170.0446428571968</v>
      </c>
      <c r="D24" s="69"/>
      <c r="E24" s="57"/>
    </row>
    <row r="25" spans="1:7" s="11" customFormat="1" ht="24" customHeight="1">
      <c r="A25" s="75"/>
      <c r="B25" s="56" t="s">
        <v>78</v>
      </c>
      <c r="C25" s="60">
        <f>Ced.Variaciones!J28</f>
        <v>0</v>
      </c>
      <c r="D25" s="69"/>
      <c r="E25" s="57"/>
    </row>
    <row r="26" spans="1:7" s="11" customFormat="1" ht="24" customHeight="1">
      <c r="A26" s="75"/>
      <c r="B26" s="56" t="s">
        <v>77</v>
      </c>
      <c r="C26" s="60">
        <f>Ced.Variaciones!J29</f>
        <v>0</v>
      </c>
      <c r="D26" s="69"/>
      <c r="E26" s="57"/>
    </row>
    <row r="27" spans="1:7" s="11" customFormat="1" ht="24" customHeight="1">
      <c r="A27" s="75"/>
      <c r="B27" s="56" t="s">
        <v>79</v>
      </c>
      <c r="C27" s="60">
        <f>Ced.Variaciones!J32</f>
        <v>0</v>
      </c>
      <c r="D27" s="69"/>
      <c r="E27" s="57"/>
    </row>
    <row r="28" spans="1:7" s="11" customFormat="1" ht="24" customHeight="1" thickBot="1">
      <c r="A28" s="75"/>
      <c r="B28" s="56" t="s">
        <v>80</v>
      </c>
      <c r="C28" s="67">
        <f>Ced.Variaciones!J33</f>
        <v>168.00000000000239</v>
      </c>
      <c r="D28" s="71"/>
      <c r="E28" s="73">
        <f>D22-D15</f>
        <v>-3037.4553571427928</v>
      </c>
    </row>
    <row r="29" spans="1:7" s="11" customFormat="1" ht="24" customHeight="1">
      <c r="A29" s="75"/>
      <c r="B29" s="56" t="s">
        <v>20</v>
      </c>
      <c r="C29" s="66"/>
      <c r="D29" s="69"/>
      <c r="E29" s="57">
        <f>SUM(E13:E28)</f>
        <v>233212.5446428571</v>
      </c>
    </row>
    <row r="30" spans="1:7" s="11" customFormat="1" ht="24" customHeight="1" thickBot="1">
      <c r="A30" s="75" t="s">
        <v>15</v>
      </c>
      <c r="B30" s="56" t="s">
        <v>21</v>
      </c>
      <c r="C30" s="66"/>
      <c r="D30" s="69"/>
      <c r="E30" s="73">
        <v>57246.55</v>
      </c>
    </row>
    <row r="31" spans="1:7" s="11" customFormat="1" ht="24" customHeight="1" thickBot="1">
      <c r="A31" s="76"/>
      <c r="B31" s="59" t="s">
        <v>22</v>
      </c>
      <c r="C31" s="58"/>
      <c r="D31" s="72"/>
      <c r="E31" s="74">
        <f>E29-E30</f>
        <v>175965.99464285711</v>
      </c>
    </row>
    <row r="32" spans="1:7" ht="13.5" thickTop="1">
      <c r="G32" s="1"/>
    </row>
    <row r="33" spans="1:10" ht="18">
      <c r="A33" s="184" t="s">
        <v>185</v>
      </c>
      <c r="B33" s="184"/>
      <c r="C33" s="184"/>
      <c r="D33" s="184"/>
      <c r="E33" s="184"/>
      <c r="F33" s="48"/>
      <c r="G33" s="48"/>
      <c r="H33" s="48"/>
      <c r="I33" s="48"/>
      <c r="J33" s="48"/>
    </row>
    <row r="34" spans="1:10" ht="18">
      <c r="A34" s="184" t="s">
        <v>186</v>
      </c>
      <c r="B34" s="184"/>
      <c r="C34" s="184"/>
      <c r="D34" s="184"/>
      <c r="E34" s="184"/>
      <c r="F34" s="49"/>
      <c r="G34" s="49"/>
      <c r="H34" s="49"/>
      <c r="I34" s="49"/>
      <c r="J34" s="49"/>
    </row>
    <row r="35" spans="1:10" ht="18">
      <c r="A35" s="184" t="s">
        <v>184</v>
      </c>
      <c r="B35" s="184"/>
      <c r="C35" s="184"/>
      <c r="D35" s="184"/>
      <c r="E35" s="184"/>
    </row>
    <row r="38" spans="1:10">
      <c r="A38" s="181"/>
    </row>
    <row r="39" spans="1:10">
      <c r="A39" s="182"/>
    </row>
  </sheetData>
  <sheetProtection password="ED0A" sheet="1" objects="1" scenarios="1" selectLockedCells="1" selectUnlockedCells="1"/>
  <mergeCells count="10">
    <mergeCell ref="A35:E35"/>
    <mergeCell ref="A33:E33"/>
    <mergeCell ref="A34:E34"/>
    <mergeCell ref="A7:E7"/>
    <mergeCell ref="A8:E8"/>
    <mergeCell ref="A1:E1"/>
    <mergeCell ref="A2:E2"/>
    <mergeCell ref="A3:E3"/>
    <mergeCell ref="A4:E4"/>
    <mergeCell ref="A5:E5"/>
  </mergeCells>
  <pageMargins left="1.299212598425197" right="0.70866141732283472" top="0.74803149606299213" bottom="0.74803149606299213" header="0.31496062992125984" footer="0.31496062992125984"/>
  <pageSetup scale="95"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sheetPr>
    <pageSetUpPr autoPageBreaks="0" fitToPage="1"/>
  </sheetPr>
  <dimension ref="A1:M80"/>
  <sheetViews>
    <sheetView showGridLines="0" topLeftCell="A52" zoomScaleNormal="100" workbookViewId="0">
      <selection activeCell="A79" sqref="A79:A82"/>
    </sheetView>
  </sheetViews>
  <sheetFormatPr baseColWidth="10" defaultRowHeight="12.75"/>
  <cols>
    <col min="1" max="1" width="6.140625" customWidth="1"/>
    <col min="2" max="2" width="19.7109375" customWidth="1"/>
    <col min="3" max="3" width="11.28515625" customWidth="1"/>
    <col min="4" max="5" width="10.7109375" customWidth="1"/>
    <col min="6" max="6" width="12.5703125" style="1" customWidth="1"/>
    <col min="7" max="7" width="11.7109375" style="1" bestFit="1" customWidth="1"/>
    <col min="8" max="8" width="11.85546875" bestFit="1" customWidth="1"/>
    <col min="10" max="10" width="11.7109375" bestFit="1" customWidth="1"/>
  </cols>
  <sheetData>
    <row r="1" spans="1:9">
      <c r="A1" s="175" t="s">
        <v>68</v>
      </c>
      <c r="B1" s="175"/>
      <c r="C1" s="175"/>
      <c r="D1" s="175"/>
      <c r="E1" s="175"/>
      <c r="F1" s="175"/>
      <c r="G1" s="175"/>
      <c r="H1" s="175"/>
    </row>
    <row r="2" spans="1:9" ht="31.5">
      <c r="A2" s="176" t="s">
        <v>67</v>
      </c>
      <c r="B2" s="176"/>
      <c r="C2" s="176"/>
      <c r="D2" s="176"/>
      <c r="E2" s="176"/>
      <c r="F2" s="176"/>
      <c r="G2" s="176"/>
      <c r="H2" s="176"/>
    </row>
    <row r="3" spans="1:9">
      <c r="A3" s="177" t="s">
        <v>69</v>
      </c>
      <c r="B3" s="177"/>
      <c r="C3" s="177"/>
      <c r="D3" s="177"/>
      <c r="E3" s="177"/>
      <c r="F3" s="177"/>
      <c r="G3" s="177"/>
      <c r="H3" s="177"/>
    </row>
    <row r="4" spans="1:9">
      <c r="A4" s="175" t="s">
        <v>118</v>
      </c>
      <c r="B4" s="175"/>
      <c r="C4" s="175"/>
      <c r="D4" s="175"/>
      <c r="E4" s="175"/>
      <c r="F4" s="175"/>
      <c r="G4" s="175"/>
      <c r="H4" s="175"/>
    </row>
    <row r="5" spans="1:9">
      <c r="A5" s="129"/>
      <c r="B5" s="129"/>
      <c r="C5" s="129"/>
      <c r="D5" s="129"/>
      <c r="E5" s="129"/>
      <c r="F5" s="129"/>
      <c r="G5" s="129"/>
      <c r="H5" s="129"/>
    </row>
    <row r="6" spans="1:9">
      <c r="A6" s="178" t="s">
        <v>84</v>
      </c>
      <c r="B6" s="178"/>
      <c r="C6" s="178"/>
      <c r="D6" s="178"/>
      <c r="E6" s="178"/>
      <c r="F6" s="178"/>
      <c r="G6" s="178"/>
      <c r="H6" s="178"/>
    </row>
    <row r="7" spans="1:9">
      <c r="A7" s="119" t="s">
        <v>23</v>
      </c>
      <c r="B7" s="120"/>
      <c r="C7" s="120"/>
      <c r="D7" s="120"/>
      <c r="E7" s="120"/>
      <c r="F7" s="121"/>
      <c r="G7" s="112"/>
      <c r="H7" s="122"/>
    </row>
    <row r="8" spans="1:9">
      <c r="A8" s="79"/>
      <c r="B8" s="78" t="s">
        <v>93</v>
      </c>
      <c r="C8" s="78"/>
      <c r="D8" s="50"/>
      <c r="E8" s="50"/>
      <c r="F8" s="51"/>
      <c r="G8" s="83">
        <f>SUM(F9:F14)</f>
        <v>435750.5</v>
      </c>
      <c r="H8" s="84"/>
    </row>
    <row r="9" spans="1:9">
      <c r="A9" s="79"/>
      <c r="B9" s="123">
        <f>Ced.Variaciones!E12</f>
        <v>26010</v>
      </c>
      <c r="C9" s="124" t="str">
        <f>Cedulas!C32</f>
        <v>Grasa Vegetal</v>
      </c>
      <c r="D9" s="2"/>
      <c r="E9" s="105">
        <f>Cedulas!H32</f>
        <v>4</v>
      </c>
      <c r="F9" s="51">
        <f t="shared" ref="F9:F14" si="0">B9*E9</f>
        <v>104040</v>
      </c>
      <c r="G9" s="83"/>
      <c r="H9" s="84"/>
    </row>
    <row r="10" spans="1:9">
      <c r="A10" s="79"/>
      <c r="B10" s="123">
        <f>Ced.Variaciones!E13</f>
        <v>9752</v>
      </c>
      <c r="C10" s="124" t="str">
        <f>Cedulas!C33</f>
        <v>Grasa Animal</v>
      </c>
      <c r="D10" s="2"/>
      <c r="E10" s="105">
        <f>Cedulas!H33</f>
        <v>8</v>
      </c>
      <c r="F10" s="51">
        <f t="shared" si="0"/>
        <v>78016</v>
      </c>
      <c r="G10" s="83"/>
      <c r="H10" s="84"/>
    </row>
    <row r="11" spans="1:9">
      <c r="A11" s="79"/>
      <c r="B11" s="123">
        <f>Ced.Variaciones!E14</f>
        <v>11376</v>
      </c>
      <c r="C11" s="124" t="str">
        <f>Cedulas!C34</f>
        <v>Soda Cáustica</v>
      </c>
      <c r="D11" s="2"/>
      <c r="E11" s="105">
        <f>Cedulas!H34</f>
        <v>2</v>
      </c>
      <c r="F11" s="51">
        <f t="shared" si="0"/>
        <v>22752</v>
      </c>
      <c r="G11" s="83"/>
      <c r="H11" s="84"/>
    </row>
    <row r="12" spans="1:9">
      <c r="A12" s="79"/>
      <c r="B12" s="123">
        <f>Ced.Variaciones!E15</f>
        <v>1620</v>
      </c>
      <c r="C12" s="124" t="str">
        <f>Cedulas!C35</f>
        <v>Dioxido de Titanio</v>
      </c>
      <c r="D12" s="2"/>
      <c r="E12" s="105">
        <f>Cedulas!H35</f>
        <v>20</v>
      </c>
      <c r="F12" s="51">
        <f t="shared" si="0"/>
        <v>32400</v>
      </c>
      <c r="G12" s="83"/>
      <c r="H12" s="84"/>
    </row>
    <row r="13" spans="1:9">
      <c r="A13" s="79"/>
      <c r="B13" s="123">
        <f>Ced.Variaciones!E16</f>
        <v>1628</v>
      </c>
      <c r="C13" s="124" t="str">
        <f>Cedulas!C36</f>
        <v>Colorante aromatizador</v>
      </c>
      <c r="D13" s="2"/>
      <c r="E13" s="105">
        <f>Cedulas!H36</f>
        <v>80</v>
      </c>
      <c r="F13" s="51">
        <f t="shared" si="0"/>
        <v>130240</v>
      </c>
      <c r="G13" s="83"/>
      <c r="H13" s="84"/>
    </row>
    <row r="14" spans="1:9">
      <c r="A14" s="79"/>
      <c r="B14" s="123">
        <f>Ced.Variaciones!E17</f>
        <v>32525</v>
      </c>
      <c r="C14" s="124" t="str">
        <f>Cedulas!C37</f>
        <v>Caja de Carton</v>
      </c>
      <c r="D14" s="2"/>
      <c r="E14" s="105">
        <f>Cedulas!H37</f>
        <v>2.1</v>
      </c>
      <c r="F14" s="106">
        <f t="shared" si="0"/>
        <v>68302.5</v>
      </c>
      <c r="G14" s="83"/>
      <c r="H14" s="84"/>
    </row>
    <row r="15" spans="1:9">
      <c r="A15" s="79"/>
      <c r="B15" s="78" t="s">
        <v>94</v>
      </c>
      <c r="C15" s="78"/>
      <c r="D15" s="124"/>
      <c r="E15" s="105"/>
      <c r="F15" s="51"/>
      <c r="G15" s="83"/>
      <c r="H15" s="84">
        <f>Ced.Variaciones!J26-Ced.Variaciones!I26</f>
        <v>569.04464285720587</v>
      </c>
      <c r="I15" s="1"/>
    </row>
    <row r="16" spans="1:9">
      <c r="A16" s="79"/>
      <c r="B16" s="78" t="s">
        <v>95</v>
      </c>
      <c r="C16" s="78"/>
      <c r="D16" s="50"/>
      <c r="E16" s="50"/>
      <c r="F16" s="51"/>
      <c r="G16" s="83">
        <f>(H17/1.12)*0.12</f>
        <v>52221.774642857126</v>
      </c>
      <c r="H16" s="84"/>
    </row>
    <row r="17" spans="1:12">
      <c r="A17" s="79"/>
      <c r="B17" s="78" t="s">
        <v>96</v>
      </c>
      <c r="C17" s="78"/>
      <c r="D17" s="78"/>
      <c r="E17" s="50" t="s">
        <v>92</v>
      </c>
      <c r="F17" s="51"/>
      <c r="G17" s="83"/>
      <c r="H17" s="84">
        <f>SUM(F18:F23)</f>
        <v>487403.22999999992</v>
      </c>
    </row>
    <row r="18" spans="1:12">
      <c r="A18" s="79"/>
      <c r="B18" s="51">
        <f t="shared" ref="B18:C23" si="1">B9</f>
        <v>26010</v>
      </c>
      <c r="C18" s="50" t="str">
        <f t="shared" si="1"/>
        <v>Grasa Vegetal</v>
      </c>
      <c r="D18" s="2"/>
      <c r="E18" s="105">
        <f>Ced.Variaciones!E20+(Ced.Variaciones!E20*0.12)</f>
        <v>4.5919999999999996</v>
      </c>
      <c r="F18" s="51">
        <f t="shared" ref="F18:F23" si="2">B18*E18</f>
        <v>119437.91999999998</v>
      </c>
      <c r="G18" s="83"/>
      <c r="H18" s="84"/>
    </row>
    <row r="19" spans="1:12">
      <c r="A19" s="79"/>
      <c r="B19" s="51">
        <f t="shared" si="1"/>
        <v>9752</v>
      </c>
      <c r="C19" s="50" t="str">
        <f t="shared" si="1"/>
        <v>Grasa Animal</v>
      </c>
      <c r="D19" s="2"/>
      <c r="E19" s="105">
        <f>Ced.Variaciones!E21+(Ced.Variaciones!E21*0.12)</f>
        <v>8.848000410172272</v>
      </c>
      <c r="F19" s="51">
        <f t="shared" si="2"/>
        <v>86285.7</v>
      </c>
      <c r="G19" s="83"/>
      <c r="H19" s="84"/>
    </row>
    <row r="20" spans="1:12">
      <c r="A20" s="79"/>
      <c r="B20" s="51">
        <f t="shared" si="1"/>
        <v>11376</v>
      </c>
      <c r="C20" s="50" t="str">
        <f t="shared" si="1"/>
        <v>Soda Cáustica</v>
      </c>
      <c r="D20" s="2"/>
      <c r="E20" s="105">
        <f>Ced.Variaciones!E22+(Ced.Variaciones!E22*0.12)</f>
        <v>2.2400000000000002</v>
      </c>
      <c r="F20" s="51">
        <f t="shared" si="2"/>
        <v>25482.240000000002</v>
      </c>
      <c r="G20" s="83"/>
      <c r="H20" s="84"/>
    </row>
    <row r="21" spans="1:12">
      <c r="A21" s="79"/>
      <c r="B21" s="51">
        <f t="shared" si="1"/>
        <v>1620</v>
      </c>
      <c r="C21" s="50" t="str">
        <f t="shared" si="1"/>
        <v>Dioxido de Titanio</v>
      </c>
      <c r="D21" s="2"/>
      <c r="E21" s="105">
        <f>Ced.Variaciones!E23+(Ced.Variaciones!E23*0.12)</f>
        <v>22.231999999999992</v>
      </c>
      <c r="F21" s="51">
        <f t="shared" si="2"/>
        <v>36015.839999999989</v>
      </c>
      <c r="G21" s="83"/>
      <c r="H21" s="84"/>
    </row>
    <row r="22" spans="1:12">
      <c r="A22" s="79"/>
      <c r="B22" s="51">
        <f t="shared" si="1"/>
        <v>1628</v>
      </c>
      <c r="C22" s="50" t="str">
        <f t="shared" si="1"/>
        <v>Colorante aromatizador</v>
      </c>
      <c r="D22" s="2"/>
      <c r="E22" s="105">
        <f>Ced.Variaciones!E24+(Ced.Variaciones!E24*0.12)</f>
        <v>89.376001228501224</v>
      </c>
      <c r="F22" s="51">
        <f t="shared" si="2"/>
        <v>145504.13</v>
      </c>
      <c r="G22" s="83"/>
      <c r="H22" s="84"/>
    </row>
    <row r="23" spans="1:12" ht="13.5" thickBot="1">
      <c r="A23" s="79"/>
      <c r="B23" s="51">
        <f t="shared" si="1"/>
        <v>32525</v>
      </c>
      <c r="C23" s="50" t="str">
        <f t="shared" si="1"/>
        <v>Caja de Carton</v>
      </c>
      <c r="D23" s="2"/>
      <c r="E23" s="105">
        <f>Ced.Variaciones!E25+(Ced.Variaciones!E25*0.12)</f>
        <v>2.2959999999999994</v>
      </c>
      <c r="F23" s="106">
        <f t="shared" si="2"/>
        <v>74677.39999999998</v>
      </c>
      <c r="G23" s="114"/>
      <c r="H23" s="115"/>
    </row>
    <row r="24" spans="1:12" ht="13.5" thickBot="1">
      <c r="A24" s="125"/>
      <c r="B24" s="50" t="s">
        <v>91</v>
      </c>
      <c r="C24" s="50"/>
      <c r="D24" s="50"/>
      <c r="E24" s="50"/>
      <c r="F24" s="51"/>
      <c r="G24" s="85">
        <f>SUM(G8:G17)</f>
        <v>487972.27464285714</v>
      </c>
      <c r="H24" s="86">
        <f>SUM(H8:H17)</f>
        <v>487972.27464285714</v>
      </c>
      <c r="I24" s="1"/>
    </row>
    <row r="25" spans="1:12" ht="13.5" thickTop="1">
      <c r="A25" s="126" t="s">
        <v>24</v>
      </c>
      <c r="B25" s="108"/>
      <c r="C25" s="108"/>
      <c r="D25" s="108"/>
      <c r="E25" s="108"/>
      <c r="F25" s="109"/>
      <c r="G25" s="110"/>
      <c r="H25" s="113"/>
    </row>
    <row r="26" spans="1:12">
      <c r="A26" s="79"/>
      <c r="B26" s="78" t="s">
        <v>98</v>
      </c>
      <c r="C26" s="78"/>
      <c r="D26" s="78"/>
      <c r="E26" s="50"/>
      <c r="F26" s="51"/>
      <c r="G26" s="83">
        <f>H29</f>
        <v>435750.5</v>
      </c>
      <c r="H26" s="84"/>
    </row>
    <row r="27" spans="1:12">
      <c r="A27" s="79"/>
      <c r="B27" s="78" t="s">
        <v>99</v>
      </c>
      <c r="C27" s="78"/>
      <c r="D27" s="78"/>
      <c r="E27" s="50"/>
      <c r="F27" s="51"/>
      <c r="G27" s="83">
        <f>H30</f>
        <v>22260</v>
      </c>
      <c r="H27" s="84"/>
    </row>
    <row r="28" spans="1:12">
      <c r="A28" s="79"/>
      <c r="B28" s="78" t="s">
        <v>100</v>
      </c>
      <c r="C28" s="78"/>
      <c r="D28" s="78"/>
      <c r="E28" s="50"/>
      <c r="F28" s="51"/>
      <c r="G28" s="83">
        <f>H31</f>
        <v>33432</v>
      </c>
      <c r="H28" s="84"/>
    </row>
    <row r="29" spans="1:12">
      <c r="A29" s="79"/>
      <c r="B29" s="78" t="s">
        <v>93</v>
      </c>
      <c r="C29" s="78"/>
      <c r="D29" s="78"/>
      <c r="E29" s="50"/>
      <c r="F29" s="51"/>
      <c r="G29" s="83"/>
      <c r="H29" s="84">
        <f>G8</f>
        <v>435750.5</v>
      </c>
      <c r="K29" s="1"/>
      <c r="L29" s="1"/>
    </row>
    <row r="30" spans="1:12">
      <c r="A30" s="79"/>
      <c r="B30" s="78" t="s">
        <v>101</v>
      </c>
      <c r="C30" s="78"/>
      <c r="D30" s="78"/>
      <c r="E30" s="50"/>
      <c r="F30" s="51"/>
      <c r="G30" s="83"/>
      <c r="H30" s="84">
        <v>22260</v>
      </c>
      <c r="K30" s="1"/>
      <c r="L30" s="1"/>
    </row>
    <row r="31" spans="1:12" ht="13.5" thickBot="1">
      <c r="A31" s="79"/>
      <c r="B31" s="78" t="s">
        <v>102</v>
      </c>
      <c r="C31" s="78"/>
      <c r="D31" s="78"/>
      <c r="E31" s="50"/>
      <c r="F31" s="51"/>
      <c r="G31" s="114"/>
      <c r="H31" s="115">
        <v>33432</v>
      </c>
      <c r="K31" s="1"/>
      <c r="L31" s="1"/>
    </row>
    <row r="32" spans="1:12" ht="13.5" thickBot="1">
      <c r="A32" s="79"/>
      <c r="B32" s="50" t="s">
        <v>97</v>
      </c>
      <c r="C32" s="50"/>
      <c r="D32" s="50"/>
      <c r="E32" s="50"/>
      <c r="F32" s="51"/>
      <c r="G32" s="85">
        <f>SUM(G26:G31)</f>
        <v>491442.5</v>
      </c>
      <c r="H32" s="86">
        <f>SUM(H26:H31)</f>
        <v>491442.5</v>
      </c>
    </row>
    <row r="33" spans="1:13" ht="13.5" thickTop="1">
      <c r="A33" s="126" t="s">
        <v>26</v>
      </c>
      <c r="B33" s="108"/>
      <c r="C33" s="108"/>
      <c r="D33" s="108"/>
      <c r="E33" s="108"/>
      <c r="F33" s="109"/>
      <c r="G33" s="110"/>
      <c r="H33" s="111"/>
    </row>
    <row r="34" spans="1:13">
      <c r="A34" s="79"/>
      <c r="B34" s="78" t="s">
        <v>103</v>
      </c>
      <c r="C34" s="78"/>
      <c r="D34" s="50"/>
      <c r="E34" s="50"/>
      <c r="F34" s="51"/>
      <c r="G34" s="83">
        <f>SUM(F35:F37)</f>
        <v>489825</v>
      </c>
      <c r="H34" s="84"/>
      <c r="K34" s="92"/>
    </row>
    <row r="35" spans="1:13">
      <c r="A35" s="79"/>
      <c r="B35" s="50" t="s">
        <v>3</v>
      </c>
      <c r="C35" s="116">
        <f>Cedulas!K17</f>
        <v>31500</v>
      </c>
      <c r="D35" s="107" t="s">
        <v>142</v>
      </c>
      <c r="E35" s="117">
        <f>Cedulas!I38</f>
        <v>13.4</v>
      </c>
      <c r="F35" s="51">
        <f>C35*E35</f>
        <v>422100</v>
      </c>
      <c r="G35" s="83"/>
      <c r="H35" s="84"/>
      <c r="J35" s="1"/>
      <c r="K35" s="92"/>
    </row>
    <row r="36" spans="1:13">
      <c r="A36" s="79"/>
      <c r="B36" s="50" t="s">
        <v>4</v>
      </c>
      <c r="C36" s="116">
        <f>Cedulas!K17</f>
        <v>31500</v>
      </c>
      <c r="D36" s="107" t="s">
        <v>142</v>
      </c>
      <c r="E36" s="117">
        <f>Cedulas!I39</f>
        <v>0.9</v>
      </c>
      <c r="F36" s="51">
        <f>C36*E36</f>
        <v>28350</v>
      </c>
      <c r="G36" s="83"/>
      <c r="H36" s="84"/>
      <c r="K36" s="92"/>
    </row>
    <row r="37" spans="1:13">
      <c r="A37" s="79"/>
      <c r="B37" s="50" t="s">
        <v>104</v>
      </c>
      <c r="C37" s="116">
        <f>Cedulas!K17</f>
        <v>31500</v>
      </c>
      <c r="D37" s="107" t="s">
        <v>142</v>
      </c>
      <c r="E37" s="117">
        <f>Cedulas!I40</f>
        <v>1.25</v>
      </c>
      <c r="F37" s="106">
        <f>C37*E37</f>
        <v>39375</v>
      </c>
      <c r="G37" s="83"/>
      <c r="H37" s="84"/>
      <c r="K37" s="92"/>
    </row>
    <row r="38" spans="1:13">
      <c r="A38" s="79"/>
      <c r="B38" s="78" t="s">
        <v>98</v>
      </c>
      <c r="C38" s="50"/>
      <c r="D38" s="78"/>
      <c r="E38" s="50"/>
      <c r="F38" s="51"/>
      <c r="G38" s="83"/>
      <c r="H38" s="84">
        <f>Cedulas!I38*Cedulas!K17</f>
        <v>422100</v>
      </c>
      <c r="K38" s="1"/>
    </row>
    <row r="39" spans="1:13">
      <c r="A39" s="79"/>
      <c r="B39" s="78" t="s">
        <v>99</v>
      </c>
      <c r="C39" s="50"/>
      <c r="D39" s="78"/>
      <c r="E39" s="50"/>
      <c r="F39" s="51"/>
      <c r="G39" s="83"/>
      <c r="H39" s="84">
        <f>Cedulas!I39*Cedulas!K17</f>
        <v>28350</v>
      </c>
      <c r="K39" s="1"/>
    </row>
    <row r="40" spans="1:13" ht="13.5" thickBot="1">
      <c r="A40" s="79"/>
      <c r="B40" s="78" t="s">
        <v>100</v>
      </c>
      <c r="C40" s="50"/>
      <c r="D40" s="78"/>
      <c r="E40" s="50"/>
      <c r="F40" s="51"/>
      <c r="G40" s="87"/>
      <c r="H40" s="88">
        <f>Cedulas!I40*Cedulas!K17</f>
        <v>39375</v>
      </c>
      <c r="K40" s="92"/>
      <c r="M40" s="104"/>
    </row>
    <row r="41" spans="1:13" ht="13.5" thickBot="1">
      <c r="A41" s="79"/>
      <c r="B41" s="50" t="s">
        <v>25</v>
      </c>
      <c r="C41" s="50"/>
      <c r="D41" s="50"/>
      <c r="E41" s="50"/>
      <c r="F41" s="51"/>
      <c r="G41" s="85">
        <f>SUM(G34:G40)</f>
        <v>489825</v>
      </c>
      <c r="H41" s="86">
        <f>SUM(H34:H40)</f>
        <v>489825</v>
      </c>
    </row>
    <row r="42" spans="1:13" ht="13.5" thickTop="1">
      <c r="A42" s="126" t="s">
        <v>27</v>
      </c>
      <c r="B42" s="108"/>
      <c r="C42" s="108"/>
      <c r="D42" s="108"/>
      <c r="E42" s="108"/>
      <c r="F42" s="109"/>
      <c r="G42" s="110"/>
      <c r="H42" s="111"/>
    </row>
    <row r="43" spans="1:13">
      <c r="A43" s="79"/>
      <c r="B43" s="78" t="s">
        <v>105</v>
      </c>
      <c r="C43" s="50"/>
      <c r="D43" s="50"/>
      <c r="E43" s="50"/>
      <c r="F43" s="51"/>
      <c r="G43" s="83">
        <f>Ced.Variaciones!I18-Ced.Variaciones!J18</f>
        <v>250.5</v>
      </c>
      <c r="H43" s="84"/>
    </row>
    <row r="44" spans="1:13">
      <c r="A44" s="79"/>
      <c r="B44" s="78" t="s">
        <v>106</v>
      </c>
      <c r="C44" s="50"/>
      <c r="D44" s="50"/>
      <c r="E44" s="50"/>
      <c r="F44" s="51"/>
      <c r="G44" s="83">
        <f>Ced.Variaciones!I28</f>
        <v>1440</v>
      </c>
      <c r="H44" s="84"/>
    </row>
    <row r="45" spans="1:13">
      <c r="A45" s="79"/>
      <c r="B45" s="78" t="s">
        <v>107</v>
      </c>
      <c r="C45" s="50"/>
      <c r="D45" s="50"/>
      <c r="E45" s="50"/>
      <c r="F45" s="51"/>
      <c r="G45" s="83">
        <f>Ced.Variaciones!I29</f>
        <v>84.000000000001194</v>
      </c>
      <c r="H45" s="84"/>
    </row>
    <row r="46" spans="1:13">
      <c r="A46" s="79"/>
      <c r="B46" s="78" t="s">
        <v>108</v>
      </c>
      <c r="C46" s="50"/>
      <c r="D46" s="50"/>
      <c r="E46" s="50"/>
      <c r="F46" s="51"/>
      <c r="G46" s="83">
        <f>Ced.Variaciones!I32</f>
        <v>2000</v>
      </c>
      <c r="H46" s="84"/>
    </row>
    <row r="47" spans="1:13">
      <c r="A47" s="79"/>
      <c r="B47" s="78" t="s">
        <v>109</v>
      </c>
      <c r="C47" s="50"/>
      <c r="D47" s="50"/>
      <c r="E47" s="50"/>
      <c r="F47" s="51"/>
      <c r="G47" s="83"/>
      <c r="H47" s="84">
        <f>Ced.Variaciones!J33</f>
        <v>168.00000000000239</v>
      </c>
    </row>
    <row r="48" spans="1:13">
      <c r="A48" s="79"/>
      <c r="B48" s="78" t="s">
        <v>98</v>
      </c>
      <c r="C48" s="50"/>
      <c r="D48" s="50"/>
      <c r="E48" s="50"/>
      <c r="F48" s="51"/>
      <c r="G48" s="83"/>
      <c r="H48" s="84">
        <f>G43</f>
        <v>250.5</v>
      </c>
    </row>
    <row r="49" spans="1:11">
      <c r="A49" s="79"/>
      <c r="B49" s="78" t="s">
        <v>99</v>
      </c>
      <c r="C49" s="50"/>
      <c r="D49" s="50"/>
      <c r="E49" s="50"/>
      <c r="F49" s="51"/>
      <c r="G49" s="83"/>
      <c r="H49" s="84">
        <f>G44+G45</f>
        <v>1524.0000000000011</v>
      </c>
    </row>
    <row r="50" spans="1:11" ht="13.5" thickBot="1">
      <c r="A50" s="79"/>
      <c r="B50" s="78" t="s">
        <v>100</v>
      </c>
      <c r="C50" s="50"/>
      <c r="D50" s="50"/>
      <c r="E50" s="50"/>
      <c r="F50" s="51"/>
      <c r="G50" s="87"/>
      <c r="H50" s="88">
        <f>G46-H47</f>
        <v>1831.9999999999977</v>
      </c>
    </row>
    <row r="51" spans="1:11" ht="13.5" thickBot="1">
      <c r="A51" s="79"/>
      <c r="B51" s="50" t="s">
        <v>89</v>
      </c>
      <c r="C51" s="50"/>
      <c r="D51" s="50"/>
      <c r="E51" s="50"/>
      <c r="F51" s="51"/>
      <c r="G51" s="85">
        <f>SUM(G43:G50)</f>
        <v>3774.5000000000009</v>
      </c>
      <c r="H51" s="86">
        <f>SUM(H43:H50)</f>
        <v>3774.5000000000014</v>
      </c>
      <c r="J51" s="1"/>
    </row>
    <row r="52" spans="1:11" ht="13.5" thickTop="1">
      <c r="A52" s="126" t="s">
        <v>29</v>
      </c>
      <c r="B52" s="108"/>
      <c r="C52" s="108"/>
      <c r="D52" s="108"/>
      <c r="E52" s="108"/>
      <c r="F52" s="109"/>
      <c r="G52" s="110"/>
      <c r="H52" s="111"/>
    </row>
    <row r="53" spans="1:11">
      <c r="A53" s="79"/>
      <c r="B53" s="78" t="s">
        <v>110</v>
      </c>
      <c r="C53" s="50"/>
      <c r="D53" s="50"/>
      <c r="E53" s="50"/>
      <c r="F53" s="51"/>
      <c r="G53" s="83">
        <f>SUM(F54:F56)</f>
        <v>14475</v>
      </c>
      <c r="H53" s="84"/>
      <c r="I53" s="1"/>
    </row>
    <row r="54" spans="1:11">
      <c r="A54" s="79"/>
      <c r="B54" s="50" t="str">
        <f>B35</f>
        <v>Materia Prima</v>
      </c>
      <c r="C54" s="118">
        <f>Cedulas!I18</f>
        <v>1000</v>
      </c>
      <c r="D54" s="107" t="s">
        <v>142</v>
      </c>
      <c r="E54" s="117">
        <f>Cedulas!I38</f>
        <v>13.4</v>
      </c>
      <c r="F54" s="51">
        <f>C54*E54</f>
        <v>13400</v>
      </c>
      <c r="G54" s="83"/>
      <c r="H54" s="84"/>
      <c r="I54" s="1"/>
    </row>
    <row r="55" spans="1:11">
      <c r="A55" s="79"/>
      <c r="B55" s="50" t="str">
        <f>B36</f>
        <v>Mano de Obra</v>
      </c>
      <c r="C55" s="118">
        <f>Cedulas!K18</f>
        <v>500</v>
      </c>
      <c r="D55" s="107" t="s">
        <v>142</v>
      </c>
      <c r="E55" s="117">
        <f>Cedulas!I39</f>
        <v>0.9</v>
      </c>
      <c r="F55" s="51">
        <f>C55*E55</f>
        <v>450</v>
      </c>
      <c r="G55" s="83"/>
      <c r="H55" s="84"/>
      <c r="I55" s="1"/>
    </row>
    <row r="56" spans="1:11">
      <c r="A56" s="79"/>
      <c r="B56" s="50" t="str">
        <f>B37</f>
        <v>Gastos de Fabricación</v>
      </c>
      <c r="C56" s="118">
        <f>Cedulas!K18</f>
        <v>500</v>
      </c>
      <c r="D56" s="107" t="s">
        <v>142</v>
      </c>
      <c r="E56" s="117">
        <f>Cedulas!I40</f>
        <v>1.25</v>
      </c>
      <c r="F56" s="106">
        <f>C56*E56</f>
        <v>625</v>
      </c>
      <c r="G56" s="83"/>
      <c r="H56" s="84"/>
      <c r="I56" s="1"/>
    </row>
    <row r="57" spans="1:11">
      <c r="A57" s="79"/>
      <c r="B57" s="78" t="s">
        <v>98</v>
      </c>
      <c r="C57" s="50"/>
      <c r="D57" s="50"/>
      <c r="E57" s="50"/>
      <c r="F57" s="51"/>
      <c r="G57" s="83"/>
      <c r="H57" s="84">
        <f>Cedulas!I18*Cedulas!I38</f>
        <v>13400</v>
      </c>
      <c r="J57" s="1"/>
      <c r="K57" s="1"/>
    </row>
    <row r="58" spans="1:11">
      <c r="A58" s="79"/>
      <c r="B58" s="78" t="s">
        <v>99</v>
      </c>
      <c r="C58" s="50"/>
      <c r="D58" s="50"/>
      <c r="E58" s="50"/>
      <c r="F58" s="51"/>
      <c r="G58" s="83"/>
      <c r="H58" s="84">
        <f>Cedulas!K18*Cedulas!I39</f>
        <v>450</v>
      </c>
    </row>
    <row r="59" spans="1:11" ht="13.5" thickBot="1">
      <c r="A59" s="79"/>
      <c r="B59" s="78" t="s">
        <v>100</v>
      </c>
      <c r="C59" s="50"/>
      <c r="D59" s="50"/>
      <c r="E59" s="50"/>
      <c r="F59" s="51"/>
      <c r="G59" s="87"/>
      <c r="H59" s="88">
        <f>Cedulas!K18*Cedulas!I40</f>
        <v>625</v>
      </c>
    </row>
    <row r="60" spans="1:11" ht="13.5" thickBot="1">
      <c r="A60" s="79"/>
      <c r="B60" s="50" t="s">
        <v>28</v>
      </c>
      <c r="C60" s="50"/>
      <c r="D60" s="50"/>
      <c r="E60" s="50"/>
      <c r="F60" s="51"/>
      <c r="G60" s="85">
        <f>SUM(G53:G59)</f>
        <v>14475</v>
      </c>
      <c r="H60" s="86">
        <f>SUM(H53:H59)</f>
        <v>14475</v>
      </c>
    </row>
    <row r="61" spans="1:11" ht="13.5" thickTop="1">
      <c r="A61" s="126" t="s">
        <v>30</v>
      </c>
      <c r="B61" s="108"/>
      <c r="C61" s="108"/>
      <c r="D61" s="108"/>
      <c r="E61" s="108"/>
      <c r="F61" s="109"/>
      <c r="G61" s="110"/>
      <c r="H61" s="111"/>
    </row>
    <row r="62" spans="1:11">
      <c r="A62" s="79"/>
      <c r="B62" s="78" t="s">
        <v>111</v>
      </c>
      <c r="C62" s="50"/>
      <c r="D62" s="50"/>
      <c r="E62" s="50"/>
      <c r="F62" s="51"/>
      <c r="G62" s="83">
        <f>H65</f>
        <v>699999.99999999988</v>
      </c>
      <c r="H62" s="84"/>
    </row>
    <row r="63" spans="1:11">
      <c r="A63" s="79"/>
      <c r="B63" s="78" t="s">
        <v>112</v>
      </c>
      <c r="C63" s="50"/>
      <c r="D63" s="50"/>
      <c r="E63" s="50"/>
      <c r="F63" s="51"/>
      <c r="G63" s="83"/>
      <c r="H63" s="84">
        <f>E.R.!E9</f>
        <v>624999.99999999988</v>
      </c>
    </row>
    <row r="64" spans="1:11" ht="13.5" thickBot="1">
      <c r="A64" s="79"/>
      <c r="B64" s="78" t="s">
        <v>113</v>
      </c>
      <c r="C64" s="50"/>
      <c r="D64" s="50"/>
      <c r="E64" s="50"/>
      <c r="F64" s="51"/>
      <c r="G64" s="87"/>
      <c r="H64" s="88">
        <f>H63*0.12</f>
        <v>74999.999999999985</v>
      </c>
    </row>
    <row r="65" spans="1:8" ht="13.5" thickBot="1">
      <c r="A65" s="79"/>
      <c r="B65" s="50" t="s">
        <v>114</v>
      </c>
      <c r="C65" s="50"/>
      <c r="D65" s="50"/>
      <c r="E65" s="50"/>
      <c r="F65" s="51"/>
      <c r="G65" s="85">
        <f>SUM(G62:G64)</f>
        <v>699999.99999999988</v>
      </c>
      <c r="H65" s="86">
        <f>SUM(H62:H64)</f>
        <v>699999.99999999988</v>
      </c>
    </row>
    <row r="66" spans="1:8" ht="13.5" thickTop="1">
      <c r="A66" s="126" t="s">
        <v>31</v>
      </c>
      <c r="B66" s="108"/>
      <c r="C66" s="108"/>
      <c r="D66" s="108"/>
      <c r="E66" s="108"/>
      <c r="F66" s="109"/>
      <c r="G66" s="110"/>
      <c r="H66" s="111"/>
    </row>
    <row r="67" spans="1:8">
      <c r="A67" s="79"/>
      <c r="B67" s="78" t="s">
        <v>115</v>
      </c>
      <c r="C67" s="50"/>
      <c r="D67" s="50"/>
      <c r="E67" s="50"/>
      <c r="F67" s="51"/>
      <c r="G67" s="83">
        <f>E.R.!E11</f>
        <v>388750</v>
      </c>
      <c r="H67" s="84"/>
    </row>
    <row r="68" spans="1:8" ht="13.5" thickBot="1">
      <c r="A68" s="79"/>
      <c r="B68" s="78" t="s">
        <v>103</v>
      </c>
      <c r="C68" s="50"/>
      <c r="D68" s="50"/>
      <c r="E68" s="50"/>
      <c r="F68" s="51"/>
      <c r="G68" s="87"/>
      <c r="H68" s="88">
        <f>G67</f>
        <v>388750</v>
      </c>
    </row>
    <row r="69" spans="1:8" ht="13.5" thickBot="1">
      <c r="A69" s="79"/>
      <c r="B69" s="50" t="s">
        <v>116</v>
      </c>
      <c r="C69" s="50"/>
      <c r="D69" s="50"/>
      <c r="E69" s="50"/>
      <c r="F69" s="51"/>
      <c r="G69" s="89">
        <f>SUM(G67:G68)</f>
        <v>388750</v>
      </c>
      <c r="H69" s="90">
        <f>SUM(H67:H68)</f>
        <v>388750</v>
      </c>
    </row>
    <row r="70" spans="1:8" ht="13.5" thickTop="1">
      <c r="A70" s="126" t="s">
        <v>86</v>
      </c>
      <c r="B70" s="108"/>
      <c r="C70" s="108"/>
      <c r="D70" s="108"/>
      <c r="E70" s="108"/>
      <c r="F70" s="109"/>
      <c r="G70" s="110"/>
      <c r="H70" s="111"/>
    </row>
    <row r="71" spans="1:8">
      <c r="A71" s="79"/>
      <c r="B71" s="78" t="s">
        <v>117</v>
      </c>
      <c r="C71" s="50"/>
      <c r="D71" s="50"/>
      <c r="E71" s="50"/>
      <c r="F71" s="51"/>
      <c r="G71" s="83">
        <f>E.R.!E30</f>
        <v>57246.55</v>
      </c>
      <c r="H71" s="84"/>
    </row>
    <row r="72" spans="1:8">
      <c r="A72" s="79"/>
      <c r="B72" s="78" t="s">
        <v>102</v>
      </c>
      <c r="C72" s="50"/>
      <c r="D72" s="50"/>
      <c r="E72" s="50"/>
      <c r="F72" s="51"/>
      <c r="G72" s="83"/>
      <c r="H72" s="84">
        <f>G71</f>
        <v>57246.55</v>
      </c>
    </row>
    <row r="73" spans="1:8" ht="13.5" thickBot="1">
      <c r="A73" s="79"/>
      <c r="B73" s="50" t="s">
        <v>32</v>
      </c>
      <c r="C73" s="50"/>
      <c r="D73" s="50"/>
      <c r="E73" s="50"/>
      <c r="F73" s="51"/>
      <c r="G73" s="87"/>
      <c r="H73" s="88"/>
    </row>
    <row r="74" spans="1:8" ht="13.5" thickBot="1">
      <c r="A74" s="80"/>
      <c r="B74" s="81" t="s">
        <v>90</v>
      </c>
      <c r="C74" s="81"/>
      <c r="D74" s="81"/>
      <c r="E74" s="81"/>
      <c r="F74" s="82"/>
      <c r="G74" s="127">
        <f>SUM(G71:G73)</f>
        <v>57246.55</v>
      </c>
      <c r="H74" s="128">
        <f>SUM(H71:H73)</f>
        <v>57246.55</v>
      </c>
    </row>
    <row r="75" spans="1:8" ht="13.5" thickTop="1">
      <c r="H75" s="1"/>
    </row>
    <row r="76" spans="1:8" ht="18">
      <c r="A76" s="183" t="s">
        <v>188</v>
      </c>
      <c r="B76" s="183"/>
      <c r="C76" s="183"/>
      <c r="D76" s="183"/>
      <c r="E76" s="183"/>
      <c r="F76" s="183"/>
      <c r="G76" s="183"/>
      <c r="H76" s="183"/>
    </row>
    <row r="77" spans="1:8" ht="18">
      <c r="A77" s="183" t="s">
        <v>189</v>
      </c>
      <c r="B77" s="183"/>
      <c r="C77" s="183"/>
      <c r="D77" s="183"/>
      <c r="E77" s="183"/>
      <c r="F77" s="183"/>
      <c r="G77" s="183"/>
      <c r="H77" s="183"/>
    </row>
    <row r="78" spans="1:8" ht="18">
      <c r="A78" s="183" t="s">
        <v>187</v>
      </c>
      <c r="B78" s="183"/>
      <c r="C78" s="183"/>
      <c r="D78" s="183"/>
      <c r="E78" s="183"/>
      <c r="F78" s="183"/>
      <c r="G78" s="183"/>
      <c r="H78" s="183"/>
    </row>
    <row r="79" spans="1:8">
      <c r="A79" s="181"/>
    </row>
    <row r="80" spans="1:8">
      <c r="A80" s="182"/>
    </row>
  </sheetData>
  <sheetProtection password="ED0A" sheet="1" objects="1" scenarios="1" selectLockedCells="1" selectUnlockedCells="1"/>
  <mergeCells count="8">
    <mergeCell ref="A78:H78"/>
    <mergeCell ref="A1:H1"/>
    <mergeCell ref="A2:H2"/>
    <mergeCell ref="A3:H3"/>
    <mergeCell ref="A76:H76"/>
    <mergeCell ref="A77:H77"/>
    <mergeCell ref="A4:H4"/>
    <mergeCell ref="A6:H6"/>
  </mergeCells>
  <printOptions horizontalCentered="1" verticalCentered="1"/>
  <pageMargins left="0.74803149606299213" right="0.74803149606299213" top="0.59055118110236227" bottom="0.59055118110236227" header="0" footer="0"/>
  <pageSetup scale="71"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Enunciado</vt:lpstr>
      <vt:lpstr>Cedulas</vt:lpstr>
      <vt:lpstr>Ced.Variaciones</vt:lpstr>
      <vt:lpstr>E.R.</vt:lpstr>
      <vt:lpstr>Partidas</vt:lpstr>
      <vt:lpstr>Cedulas!Área_de_impresión</vt:lpstr>
    </vt:vector>
  </TitlesOfParts>
  <Company>VICAL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lflores</dc:creator>
  <cp:lastModifiedBy>pmolina</cp:lastModifiedBy>
  <cp:lastPrinted>2013-07-26T21:09:03Z</cp:lastPrinted>
  <dcterms:created xsi:type="dcterms:W3CDTF">2004-09-27T19:33:28Z</dcterms:created>
  <dcterms:modified xsi:type="dcterms:W3CDTF">2013-07-26T21:14:08Z</dcterms:modified>
</cp:coreProperties>
</file>