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480" windowHeight="7995" activeTab="1"/>
  </bookViews>
  <sheets>
    <sheet name="HOJA TECNICA" sheetId="1" r:id="rId1"/>
    <sheet name="CALCULOS" sheetId="2" r:id="rId2"/>
    <sheet name="Depreciaciones" sheetId="3" r:id="rId3"/>
    <sheet name="Partidas" sheetId="4" r:id="rId4"/>
    <sheet name="E.R." sheetId="5" r:id="rId5"/>
  </sheets>
  <definedNames/>
  <calcPr fullCalcOnLoad="1"/>
</workbook>
</file>

<file path=xl/sharedStrings.xml><?xml version="1.0" encoding="utf-8"?>
<sst xmlns="http://schemas.openxmlformats.org/spreadsheetml/2006/main" count="363" uniqueCount="249">
  <si>
    <t>DESCRIPCION</t>
  </si>
  <si>
    <t>INVENTARIO</t>
  </si>
  <si>
    <t>INSUMOS</t>
  </si>
  <si>
    <t>GASTOS INDIRECTOS</t>
  </si>
  <si>
    <t>TOTAL</t>
  </si>
  <si>
    <t>PRODUCCION</t>
  </si>
  <si>
    <t>Depreciaciones</t>
  </si>
  <si>
    <t>Base</t>
  </si>
  <si>
    <t>%</t>
  </si>
  <si>
    <t>Saldos Iniciales</t>
  </si>
  <si>
    <t>Sub-total</t>
  </si>
  <si>
    <t>Total depreciaciones</t>
  </si>
  <si>
    <t>DEPRE. GASTO</t>
  </si>
  <si>
    <t>Hoja Tecnica</t>
  </si>
  <si>
    <t>DURAZNO</t>
  </si>
  <si>
    <t>MANZANA EN PROCESO</t>
  </si>
  <si>
    <t>GASTOS VENTAS</t>
  </si>
  <si>
    <t>GASTOS ADMON</t>
  </si>
  <si>
    <t>VENTAS</t>
  </si>
  <si>
    <t>VALOR U.</t>
  </si>
  <si>
    <t>Abono</t>
  </si>
  <si>
    <t>Gasolina</t>
  </si>
  <si>
    <t>FIJAS EN PRODUCCIÓN</t>
  </si>
  <si>
    <t>2 COSECHAS</t>
  </si>
  <si>
    <t xml:space="preserve">FIJA </t>
  </si>
  <si>
    <t xml:space="preserve"> EN PROCESO</t>
  </si>
  <si>
    <t>ESTACIONARIA</t>
  </si>
  <si>
    <t>BAGAZO</t>
  </si>
  <si>
    <t>SUB PRODUCTO</t>
  </si>
  <si>
    <t>DEL TÉ AMARGO</t>
  </si>
  <si>
    <t>Semilla</t>
  </si>
  <si>
    <t>Fertilizante</t>
  </si>
  <si>
    <t>COMPRA DE ABONO</t>
  </si>
  <si>
    <t>COSECHAS</t>
  </si>
  <si>
    <t xml:space="preserve">CONSUMO POR
COSECHA </t>
  </si>
  <si>
    <t>valor unitario</t>
  </si>
  <si>
    <t>COMPRA TOTAL DE ABONO</t>
  </si>
  <si>
    <t>CONSUMIDO</t>
  </si>
  <si>
    <t>COMPRA DE FERTILIZANTE</t>
  </si>
  <si>
    <t>INVENTARIO DE FERTILIZANTE</t>
  </si>
  <si>
    <t>Administrador</t>
  </si>
  <si>
    <t>Energia Electrica y Telefono</t>
  </si>
  <si>
    <t>COMPRA DE GASOLINA</t>
  </si>
  <si>
    <t>FIJAS  Y ESTACIONARIAS EN PRODUC.</t>
  </si>
  <si>
    <t>ADMINISTRACIÓN</t>
  </si>
  <si>
    <t>Seguro</t>
  </si>
  <si>
    <t>SEGURO</t>
  </si>
  <si>
    <t>Honorarios Agronomo</t>
  </si>
  <si>
    <t>Té Negro</t>
  </si>
  <si>
    <t>Té Amargo</t>
  </si>
  <si>
    <t>Arveja</t>
  </si>
  <si>
    <t>Bagazo</t>
  </si>
  <si>
    <t>PRODUCCIÓN</t>
  </si>
  <si>
    <t>EMPAQUE</t>
  </si>
  <si>
    <t>Produc.  qq</t>
  </si>
  <si>
    <t>80% vendido</t>
  </si>
  <si>
    <t>prod. En libras</t>
  </si>
  <si>
    <t>EMPAQUES DE 25LB</t>
  </si>
  <si>
    <t>VALOR P/C EMPAQUE 
DE 25LB. Q.10.00</t>
  </si>
  <si>
    <t>50% PRES. 25LB</t>
  </si>
  <si>
    <t>50% PRES. 100LB</t>
  </si>
  <si>
    <t>EMPAQUES DE 100LB</t>
  </si>
  <si>
    <t>VALOR P/C EMPAQUE 
DE 25LB. Q.25.00</t>
  </si>
  <si>
    <t>TOTAL DE
 EMPAQUE</t>
  </si>
  <si>
    <t>Té negro</t>
  </si>
  <si>
    <t>Te amargo</t>
  </si>
  <si>
    <t>Empaque</t>
  </si>
  <si>
    <t>total cosecha</t>
  </si>
  <si>
    <t>Camión</t>
  </si>
  <si>
    <t>Tractor</t>
  </si>
  <si>
    <t>Equipo para pozo de Agua</t>
  </si>
  <si>
    <t>Despulpadora de Café Usada</t>
  </si>
  <si>
    <t>TOTAL 
CONSUMO En qq</t>
  </si>
  <si>
    <t>TOTAL EN
 LIBRAS</t>
  </si>
  <si>
    <t>TOTAL DE
 EMPAQUE
CAJA Y BANCOS</t>
  </si>
  <si>
    <t>PRODUC.</t>
  </si>
  <si>
    <t xml:space="preserve">COSTO UNITARIO </t>
  </si>
  <si>
    <t>Tomando en cuenta que el té que se encuentra en el inventario ya está empacado</t>
  </si>
  <si>
    <t>COSTO P</t>
  </si>
  <si>
    <t>JORNALIZACION</t>
  </si>
  <si>
    <t>(Expresado en Quetzales)</t>
  </si>
  <si>
    <t>Ptda. 1</t>
  </si>
  <si>
    <t>Capital</t>
  </si>
  <si>
    <t>Registro de la apertura de la operaciones.</t>
  </si>
  <si>
    <t xml:space="preserve">TOTAL COMPRADO </t>
  </si>
  <si>
    <t>CAFÉ</t>
  </si>
  <si>
    <t>TOMATE</t>
  </si>
  <si>
    <t>DATOS GENERALES</t>
  </si>
  <si>
    <t>250 MANZANAS DE PLANTACIONES DE CAFE, SALDO AL FINALIZAR EL AÑO 2006 Q. 1,000.00  POR CADA MANZANA 200 EN PRODUCCIÓN Y 50 EN PROCESO, RENDIMIENTO 400qq X MANZANA</t>
  </si>
  <si>
    <t>CARDAMOMO</t>
  </si>
  <si>
    <t xml:space="preserve">CAFÉ </t>
  </si>
  <si>
    <t xml:space="preserve">COMPRA DE SEMILLA </t>
  </si>
  <si>
    <t xml:space="preserve">CONSUMO POR
2 COSECHA </t>
  </si>
  <si>
    <t>EQUITATIVAMENTE</t>
  </si>
  <si>
    <t>PLANTACIONES</t>
  </si>
  <si>
    <t>1 COSECHA</t>
  </si>
  <si>
    <t>MANO DE OBRA DIRECTA</t>
  </si>
  <si>
    <t>MOD</t>
  </si>
  <si>
    <t>PEONES</t>
  </si>
  <si>
    <t>SUELDO MENSUAL</t>
  </si>
  <si>
    <t>BONIF MENSUAL</t>
  </si>
  <si>
    <t>ANUAL</t>
  </si>
  <si>
    <t>Cuotas Patronales</t>
  </si>
  <si>
    <t>Prestaciones Laborales</t>
  </si>
  <si>
    <t>MOI</t>
  </si>
  <si>
    <t>CAPORAL</t>
  </si>
  <si>
    <t>DISTRIBUCIÓN</t>
  </si>
  <si>
    <t>EQUITATIVAMENTE PARA CADA PLANTACIÓN</t>
  </si>
  <si>
    <t>ADMINISTRADOR</t>
  </si>
  <si>
    <t>MESES</t>
  </si>
  <si>
    <t>POR PEON</t>
  </si>
  <si>
    <t>10 PEONES</t>
  </si>
  <si>
    <t>BONIF ANUAL</t>
  </si>
  <si>
    <t>BONIF ANUAL
10 PEONES</t>
  </si>
  <si>
    <t>Peones Sueldo Anual</t>
  </si>
  <si>
    <t>Bonificación</t>
  </si>
  <si>
    <t>SUELDO 
MENSUAL</t>
  </si>
  <si>
    <t>TOTAL SUELDO</t>
  </si>
  <si>
    <t>TOTAL ANUAL</t>
  </si>
  <si>
    <t>% ENTRE CADA PLANTACIÓN</t>
  </si>
  <si>
    <t>CARDAMOMO 30%</t>
  </si>
  <si>
    <t>CAFÉ   30%</t>
  </si>
  <si>
    <t>TOMATE  30%</t>
  </si>
  <si>
    <t>ADMINISTRACIÓN  10%</t>
  </si>
  <si>
    <t xml:space="preserve">TOTAL DEL SEGURO  SE TOMA POR LA COSECHA 2007 </t>
  </si>
  <si>
    <t xml:space="preserve">PLANT. FIJAS </t>
  </si>
  <si>
    <t>80% CAFÉ</t>
  </si>
  <si>
    <t>50% DEL TOTAL LO UTILIZA EL TRACTOR</t>
  </si>
  <si>
    <t>45% DEL TOTAL LO UTILIZA EL CAMIÓN</t>
  </si>
  <si>
    <t>5% DEL TOTAL LO UTILIZA  ADMINISTRACIÓN</t>
  </si>
  <si>
    <t xml:space="preserve">Plantaciones de Cardamomo </t>
  </si>
  <si>
    <t>Plantaciones de Café</t>
  </si>
  <si>
    <t>Una Despulpadora de Café</t>
  </si>
  <si>
    <t>Equipo para clasificación de cardamomo</t>
  </si>
  <si>
    <t>Bodegas para cosecha</t>
  </si>
  <si>
    <t>Casa Patronal</t>
  </si>
  <si>
    <t>Mobiliario y Equipo de Oficina</t>
  </si>
  <si>
    <t>meses a depreciar</t>
  </si>
  <si>
    <t>Equipo para cosecha mecanica de cultivos fijos</t>
  </si>
  <si>
    <t>MANZANAS</t>
  </si>
  <si>
    <t>POR MANZ.</t>
  </si>
  <si>
    <t>TOTAL PROD.</t>
  </si>
  <si>
    <t>PRODUCCIÓN TOMATE</t>
  </si>
  <si>
    <t>PRODUCCIÓN CARDAMOMO</t>
  </si>
  <si>
    <t>PRODUCCIÓN CAFÉ</t>
  </si>
  <si>
    <t>CANASTOS</t>
  </si>
  <si>
    <t>TOTAL PRODUCCIÓN</t>
  </si>
  <si>
    <t>Sueldo por plant.</t>
  </si>
  <si>
    <t>Cuota Pat.</t>
  </si>
  <si>
    <t>Prestaciones Lab</t>
  </si>
  <si>
    <t>Total Bonif.</t>
  </si>
  <si>
    <t>Total</t>
  </si>
  <si>
    <t xml:space="preserve">Caporal </t>
  </si>
  <si>
    <t>CARDAMOMO  10%</t>
  </si>
  <si>
    <t>TOMATE 10%</t>
  </si>
  <si>
    <t>VALOR TOTAL DE
 CAJAS Q. 4,000.00</t>
  </si>
  <si>
    <t xml:space="preserve">Canastos </t>
  </si>
  <si>
    <t>VALOR TOTAL DE
 EMPAQUE Q. 30,000</t>
  </si>
  <si>
    <t>NUEVA PRODUCCIÓN 
MANDARINA</t>
  </si>
  <si>
    <t>MANDARINA</t>
  </si>
  <si>
    <t>INVENTARIO 
2007</t>
  </si>
  <si>
    <t>TOTAL VENTA</t>
  </si>
  <si>
    <t>COSTO</t>
  </si>
  <si>
    <t>MARGEN</t>
  </si>
  <si>
    <t>Plantación de Café en Producción</t>
  </si>
  <si>
    <t>Plantación de Café en Proceso</t>
  </si>
  <si>
    <t>Plantación de Tomate</t>
  </si>
  <si>
    <t>Terreno</t>
  </si>
  <si>
    <t xml:space="preserve">Casa </t>
  </si>
  <si>
    <t>Equipo para pozo de agua</t>
  </si>
  <si>
    <t>Un tractor</t>
  </si>
  <si>
    <t>Inventario de Café  2006</t>
  </si>
  <si>
    <t>Cuenta Monetaria en Banco Mafia De Guantes, S.A.</t>
  </si>
  <si>
    <t>Inventario de Empaque</t>
  </si>
  <si>
    <t>SOCIEDAD PRINCIPES AZULES, S.A.</t>
  </si>
  <si>
    <t>HOJA DE COSTOS</t>
  </si>
  <si>
    <t>Preparación de la Tierra para Tomate</t>
  </si>
  <si>
    <t>AL 31 DE DICIEMBRE 2007</t>
  </si>
  <si>
    <t>Ptda. 2</t>
  </si>
  <si>
    <t>ACTIVO NO CORRIENTE</t>
  </si>
  <si>
    <t>ACTIVO CORRIENTE</t>
  </si>
  <si>
    <t>Ptda. 3</t>
  </si>
  <si>
    <t>COSTOS DE COSECHAS</t>
  </si>
  <si>
    <t>Cosecha de Café</t>
  </si>
  <si>
    <t>Cosecha de Cardamomo</t>
  </si>
  <si>
    <t>Cosecha de Tomate</t>
  </si>
  <si>
    <t>Inventario Insumos</t>
  </si>
  <si>
    <t>Gastos de Administración</t>
  </si>
  <si>
    <t>TOTAL COSTO POR COSECHA</t>
  </si>
  <si>
    <t>Depreciaciones Acumuladas</t>
  </si>
  <si>
    <t>Plantación de Tomate en proceso</t>
  </si>
  <si>
    <t>Banco Mafia de Guantes, S.A.</t>
  </si>
  <si>
    <t>Registro Costos de Cosecha</t>
  </si>
  <si>
    <t>Ptda. 4</t>
  </si>
  <si>
    <t>Equipo para Cosecha</t>
  </si>
  <si>
    <t>Bodegas para Cosecha</t>
  </si>
  <si>
    <t>Maquinaria</t>
  </si>
  <si>
    <t>Edificios</t>
  </si>
  <si>
    <t>Ptda. 5</t>
  </si>
  <si>
    <t>Gastos de Admon</t>
  </si>
  <si>
    <t>Gasto de Venta</t>
  </si>
  <si>
    <t>TOTAL VENDIDO</t>
  </si>
  <si>
    <t>COSECHA</t>
  </si>
  <si>
    <t>VALOR</t>
  </si>
  <si>
    <t>TOTAL COSECHA</t>
  </si>
  <si>
    <t>VENDIDO UNIDAD</t>
  </si>
  <si>
    <t>MARGEN U.</t>
  </si>
  <si>
    <t>Ptda. 6</t>
  </si>
  <si>
    <t>Anticipo Sobre Cosecha</t>
  </si>
  <si>
    <t>Venta</t>
  </si>
  <si>
    <t>Ptda. 7</t>
  </si>
  <si>
    <t>Costo de Ventas</t>
  </si>
  <si>
    <t>Cardamomo</t>
  </si>
  <si>
    <t>Tomate</t>
  </si>
  <si>
    <t xml:space="preserve">Costo de Cosecha </t>
  </si>
  <si>
    <t>Registro de las Ventas</t>
  </si>
  <si>
    <t>Registro de Costo de Venta</t>
  </si>
  <si>
    <t>Ptda. 8</t>
  </si>
  <si>
    <t>Plantación de Mandarina en Proceso</t>
  </si>
  <si>
    <t>( - )</t>
  </si>
  <si>
    <t>Costo de ventas</t>
  </si>
  <si>
    <t>Margen Bruto</t>
  </si>
  <si>
    <t>Gastos de operación</t>
  </si>
  <si>
    <t>Gastos de Admón.</t>
  </si>
  <si>
    <t>Ganancia en Operación</t>
  </si>
  <si>
    <t>(-)</t>
  </si>
  <si>
    <t>ISR</t>
  </si>
  <si>
    <t>Reserva Legal</t>
  </si>
  <si>
    <t>Utilidad  del Ejercicio</t>
  </si>
  <si>
    <t>SOCIEDAD PRINCIPES AZULES</t>
  </si>
  <si>
    <t>Del 01 de enero al 31 de diciembre 2007</t>
  </si>
  <si>
    <t xml:space="preserve">Café </t>
  </si>
  <si>
    <t>Gastos de Ventas</t>
  </si>
  <si>
    <t>INVENTARIO 2007</t>
  </si>
  <si>
    <t>TOTAL COSTO COSECHA VENDIDA</t>
  </si>
  <si>
    <t>Plantación de Cardamomo Proceso</t>
  </si>
  <si>
    <t>Activo Corriente Biologico</t>
  </si>
  <si>
    <t>Plantación de Cardamomo en Producción</t>
  </si>
  <si>
    <t>Plantación de Cardamomo en Proceso</t>
  </si>
  <si>
    <t>Reclasificación de la plantación de café y cardamomo en proceso</t>
  </si>
  <si>
    <t xml:space="preserve">Iva por Cobrar  Sobre Factura Especial </t>
  </si>
  <si>
    <t>Iva Retenido Sobre Factura Especial</t>
  </si>
  <si>
    <t>ISR Retenido Sobre Factura Especial</t>
  </si>
  <si>
    <t>Registro Gastos de Operación</t>
  </si>
  <si>
    <t>Registro del Anticipo sobre la cosecha</t>
  </si>
  <si>
    <t>Anticipo Sobre Venta de Cosecha</t>
  </si>
  <si>
    <t>Inventario de Café 2007</t>
  </si>
  <si>
    <t>EN PRODUCCIÓN</t>
  </si>
  <si>
    <t>CAJA Y BANCOS</t>
  </si>
</sst>
</file>

<file path=xl/styles.xml><?xml version="1.0" encoding="utf-8"?>
<styleSheet xmlns="http://schemas.openxmlformats.org/spreadsheetml/2006/main">
  <numFmts count="4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Q&quot;#,##0.00"/>
    <numFmt numFmtId="186" formatCode="#,##0.00_ ;\-#,##0.00\ "/>
    <numFmt numFmtId="187" formatCode="#,##0.00_ ;[Red]\-#,##0.00\ "/>
    <numFmt numFmtId="188" formatCode="#,##0.0;\-#,##0.0"/>
    <numFmt numFmtId="189" formatCode="m/d/yy;@"/>
    <numFmt numFmtId="190" formatCode="#,##0.00000000_);\(#,##0.00000000\)"/>
    <numFmt numFmtId="191" formatCode="#,##0.00;\(#,##0.00\)"/>
    <numFmt numFmtId="192" formatCode="_(&quot;Q&quot;* #,##0.000_);_(&quot;Q&quot;* \(#,##0.000\);_(&quot;Q&quot;* &quot;-&quot;??_);_(@_)"/>
    <numFmt numFmtId="193" formatCode="_(&quot;Q&quot;* #,##0.0_);_(&quot;Q&quot;* \(#,##0.0\);_(&quot;Q&quot;* &quot;-&quot;??_);_(@_)"/>
    <numFmt numFmtId="194" formatCode="_(&quot;Q&quot;* #,##0_);_(&quot;Q&quot;* \(#,##0\);_(&quot;Q&quot;* &quot;-&quot;??_);_(@_)"/>
    <numFmt numFmtId="195" formatCode="_(* #,##0.0_);_(* \(#,##0.0\);_(* &quot;-&quot;??_);_(@_)"/>
    <numFmt numFmtId="196" formatCode="#,##0.000_);\(#,##0.000\)"/>
    <numFmt numFmtId="197" formatCode="#,##0.0_);\(#,##0.0\)"/>
    <numFmt numFmtId="198" formatCode="0.0"/>
    <numFmt numFmtId="199" formatCode="#,##0;\(#,##0\)"/>
    <numFmt numFmtId="200" formatCode="_(* #,##0.00000000_);_(* \(#,##0.00000000\);_(* &quot;-&quot;????????_);_(@_)"/>
    <numFmt numFmtId="201" formatCode="_(* #,##0.00000_);_(* \(#,##0.00000\);_(* &quot;-&quot;?????_);_(@_)"/>
    <numFmt numFmtId="202" formatCode="[$-100A]dddd\,\ dd&quot; de &quot;mmmm&quot; de &quot;yyyy"/>
    <numFmt numFmtId="203" formatCode="[$-100A]hh:mm:ss\ AM/PM"/>
    <numFmt numFmtId="204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>
        <color indexed="63"/>
      </top>
      <bottom style="medium"/>
    </border>
    <border>
      <left style="thin">
        <color theme="4"/>
      </left>
      <right style="thin"/>
      <top style="thin">
        <color theme="4"/>
      </top>
      <bottom style="thin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397">
    <xf numFmtId="0" fontId="0" fillId="0" borderId="0" xfId="0" applyFont="1" applyAlignment="1">
      <alignment/>
    </xf>
    <xf numFmtId="0" fontId="65" fillId="0" borderId="0" xfId="0" applyFont="1" applyAlignment="1">
      <alignment/>
    </xf>
    <xf numFmtId="39" fontId="2" fillId="0" borderId="10" xfId="55" applyNumberFormat="1" applyFont="1" applyFill="1" applyBorder="1" applyAlignment="1">
      <alignment horizontal="right" vertical="center"/>
    </xf>
    <xf numFmtId="9" fontId="2" fillId="0" borderId="10" xfId="52" applyNumberFormat="1" applyFont="1" applyFill="1" applyBorder="1" applyAlignment="1">
      <alignment horizontal="center" vertical="center"/>
    </xf>
    <xf numFmtId="44" fontId="2" fillId="0" borderId="10" xfId="55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3" fillId="33" borderId="10" xfId="52" applyFont="1" applyFill="1" applyBorder="1" applyAlignment="1">
      <alignment vertical="center"/>
    </xf>
    <xf numFmtId="39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0" fontId="66" fillId="0" borderId="0" xfId="45" applyFont="1" applyAlignment="1" applyProtection="1">
      <alignment/>
      <protection/>
    </xf>
    <xf numFmtId="0" fontId="5" fillId="34" borderId="0" xfId="57" applyFont="1" applyFill="1" applyBorder="1">
      <alignment/>
      <protection/>
    </xf>
    <xf numFmtId="43" fontId="5" fillId="34" borderId="0" xfId="50" applyFont="1" applyFill="1" applyBorder="1" applyAlignment="1">
      <alignment/>
    </xf>
    <xf numFmtId="0" fontId="6" fillId="34" borderId="0" xfId="0" applyFont="1" applyFill="1" applyAlignment="1">
      <alignment/>
    </xf>
    <xf numFmtId="39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4" fontId="6" fillId="34" borderId="0" xfId="0" applyNumberFormat="1" applyFont="1" applyFill="1" applyAlignment="1">
      <alignment/>
    </xf>
    <xf numFmtId="0" fontId="0" fillId="0" borderId="0" xfId="0" applyBorder="1" applyAlignment="1">
      <alignment horizontal="justify" vertical="top" wrapText="1"/>
    </xf>
    <xf numFmtId="0" fontId="9" fillId="34" borderId="0" xfId="0" applyFont="1" applyFill="1" applyAlignment="1">
      <alignment/>
    </xf>
    <xf numFmtId="39" fontId="9" fillId="34" borderId="0" xfId="0" applyNumberFormat="1" applyFont="1" applyFill="1" applyAlignment="1">
      <alignment horizontal="center"/>
    </xf>
    <xf numFmtId="37" fontId="6" fillId="34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9" fillId="34" borderId="0" xfId="0" applyFont="1" applyFill="1" applyAlignment="1">
      <alignment horizontal="center"/>
    </xf>
    <xf numFmtId="43" fontId="5" fillId="34" borderId="11" xfId="50" applyFont="1" applyFill="1" applyBorder="1" applyAlignment="1">
      <alignment horizontal="center"/>
    </xf>
    <xf numFmtId="44" fontId="65" fillId="0" borderId="0" xfId="53" applyFont="1" applyAlignment="1">
      <alignment/>
    </xf>
    <xf numFmtId="44" fontId="65" fillId="0" borderId="0" xfId="0" applyNumberFormat="1" applyFont="1" applyAlignment="1">
      <alignment/>
    </xf>
    <xf numFmtId="0" fontId="65" fillId="0" borderId="0" xfId="0" applyFont="1" applyAlignment="1">
      <alignment/>
    </xf>
    <xf numFmtId="39" fontId="67" fillId="0" borderId="0" xfId="0" applyNumberFormat="1" applyFont="1" applyFill="1" applyBorder="1" applyAlignment="1">
      <alignment horizontal="right"/>
    </xf>
    <xf numFmtId="43" fontId="3" fillId="0" borderId="0" xfId="52" applyFont="1" applyFill="1" applyBorder="1" applyAlignment="1">
      <alignment vertical="center"/>
    </xf>
    <xf numFmtId="39" fontId="67" fillId="0" borderId="12" xfId="0" applyNumberFormat="1" applyFont="1" applyBorder="1" applyAlignment="1">
      <alignment horizontal="right"/>
    </xf>
    <xf numFmtId="43" fontId="3" fillId="33" borderId="12" xfId="52" applyFont="1" applyFill="1" applyBorder="1" applyAlignment="1">
      <alignment vertical="center"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44" fontId="65" fillId="0" borderId="15" xfId="53" applyFont="1" applyBorder="1" applyAlignment="1">
      <alignment/>
    </xf>
    <xf numFmtId="0" fontId="65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44" fontId="65" fillId="0" borderId="18" xfId="0" applyNumberFormat="1" applyFont="1" applyBorder="1" applyAlignment="1">
      <alignment horizontal="center"/>
    </xf>
    <xf numFmtId="0" fontId="65" fillId="0" borderId="19" xfId="0" applyFont="1" applyBorder="1" applyAlignment="1">
      <alignment/>
    </xf>
    <xf numFmtId="44" fontId="65" fillId="0" borderId="16" xfId="0" applyNumberFormat="1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0" xfId="0" applyFont="1" applyBorder="1" applyAlignment="1">
      <alignment/>
    </xf>
    <xf numFmtId="44" fontId="65" fillId="0" borderId="0" xfId="0" applyNumberFormat="1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17" xfId="0" applyFont="1" applyBorder="1" applyAlignment="1">
      <alignment/>
    </xf>
    <xf numFmtId="44" fontId="65" fillId="0" borderId="14" xfId="0" applyNumberFormat="1" applyFont="1" applyBorder="1" applyAlignment="1">
      <alignment/>
    </xf>
    <xf numFmtId="0" fontId="65" fillId="0" borderId="24" xfId="0" applyFont="1" applyBorder="1" applyAlignment="1">
      <alignment horizontal="center"/>
    </xf>
    <xf numFmtId="44" fontId="65" fillId="0" borderId="20" xfId="0" applyNumberFormat="1" applyFont="1" applyBorder="1" applyAlignment="1">
      <alignment/>
    </xf>
    <xf numFmtId="44" fontId="65" fillId="0" borderId="22" xfId="0" applyNumberFormat="1" applyFont="1" applyBorder="1" applyAlignment="1">
      <alignment/>
    </xf>
    <xf numFmtId="44" fontId="65" fillId="0" borderId="25" xfId="0" applyNumberFormat="1" applyFont="1" applyBorder="1" applyAlignment="1">
      <alignment/>
    </xf>
    <xf numFmtId="44" fontId="65" fillId="0" borderId="26" xfId="0" applyNumberFormat="1" applyFont="1" applyBorder="1" applyAlignment="1">
      <alignment/>
    </xf>
    <xf numFmtId="0" fontId="65" fillId="0" borderId="26" xfId="0" applyFont="1" applyBorder="1" applyAlignment="1">
      <alignment/>
    </xf>
    <xf numFmtId="44" fontId="65" fillId="0" borderId="27" xfId="0" applyNumberFormat="1" applyFont="1" applyBorder="1" applyAlignment="1">
      <alignment/>
    </xf>
    <xf numFmtId="0" fontId="65" fillId="0" borderId="28" xfId="0" applyFont="1" applyBorder="1" applyAlignment="1">
      <alignment/>
    </xf>
    <xf numFmtId="44" fontId="65" fillId="0" borderId="29" xfId="0" applyNumberFormat="1" applyFont="1" applyBorder="1" applyAlignment="1">
      <alignment/>
    </xf>
    <xf numFmtId="0" fontId="65" fillId="0" borderId="30" xfId="0" applyFont="1" applyBorder="1" applyAlignment="1">
      <alignment/>
    </xf>
    <xf numFmtId="44" fontId="65" fillId="0" borderId="30" xfId="53" applyFont="1" applyBorder="1" applyAlignment="1">
      <alignment/>
    </xf>
    <xf numFmtId="0" fontId="65" fillId="0" borderId="31" xfId="0" applyFont="1" applyBorder="1" applyAlignment="1">
      <alignment/>
    </xf>
    <xf numFmtId="0" fontId="65" fillId="0" borderId="32" xfId="0" applyFont="1" applyBorder="1" applyAlignment="1">
      <alignment/>
    </xf>
    <xf numFmtId="44" fontId="65" fillId="0" borderId="32" xfId="53" applyFont="1" applyBorder="1" applyAlignment="1">
      <alignment/>
    </xf>
    <xf numFmtId="44" fontId="65" fillId="0" borderId="33" xfId="0" applyNumberFormat="1" applyFont="1" applyBorder="1" applyAlignment="1">
      <alignment/>
    </xf>
    <xf numFmtId="0" fontId="68" fillId="0" borderId="34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44" fontId="65" fillId="0" borderId="24" xfId="53" applyFont="1" applyBorder="1" applyAlignment="1">
      <alignment horizontal="center"/>
    </xf>
    <xf numFmtId="44" fontId="65" fillId="0" borderId="24" xfId="53" applyFont="1" applyBorder="1" applyAlignment="1">
      <alignment/>
    </xf>
    <xf numFmtId="0" fontId="69" fillId="0" borderId="21" xfId="0" applyFont="1" applyBorder="1" applyAlignment="1">
      <alignment/>
    </xf>
    <xf numFmtId="0" fontId="65" fillId="35" borderId="0" xfId="0" applyFont="1" applyFill="1" applyAlignment="1">
      <alignment/>
    </xf>
    <xf numFmtId="0" fontId="65" fillId="0" borderId="0" xfId="0" applyFont="1" applyFill="1" applyAlignment="1">
      <alignment/>
    </xf>
    <xf numFmtId="0" fontId="69" fillId="12" borderId="0" xfId="0" applyFont="1" applyFill="1" applyAlignment="1">
      <alignment/>
    </xf>
    <xf numFmtId="0" fontId="4" fillId="36" borderId="0" xfId="0" applyFont="1" applyFill="1" applyAlignment="1">
      <alignment/>
    </xf>
    <xf numFmtId="0" fontId="69" fillId="36" borderId="0" xfId="0" applyFont="1" applyFill="1" applyAlignment="1">
      <alignment/>
    </xf>
    <xf numFmtId="0" fontId="6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5" fillId="0" borderId="37" xfId="0" applyFont="1" applyBorder="1" applyAlignment="1">
      <alignment/>
    </xf>
    <xf numFmtId="43" fontId="65" fillId="0" borderId="37" xfId="53" applyNumberFormat="1" applyFont="1" applyBorder="1" applyAlignment="1">
      <alignment/>
    </xf>
    <xf numFmtId="43" fontId="65" fillId="12" borderId="37" xfId="53" applyNumberFormat="1" applyFont="1" applyFill="1" applyBorder="1" applyAlignment="1">
      <alignment/>
    </xf>
    <xf numFmtId="43" fontId="37" fillId="36" borderId="37" xfId="0" applyNumberFormat="1" applyFont="1" applyFill="1" applyBorder="1" applyAlignment="1">
      <alignment/>
    </xf>
    <xf numFmtId="43" fontId="65" fillId="36" borderId="37" xfId="0" applyNumberFormat="1" applyFont="1" applyFill="1" applyBorder="1" applyAlignment="1">
      <alignment/>
    </xf>
    <xf numFmtId="43" fontId="65" fillId="0" borderId="37" xfId="0" applyNumberFormat="1" applyFont="1" applyBorder="1" applyAlignment="1">
      <alignment/>
    </xf>
    <xf numFmtId="44" fontId="65" fillId="0" borderId="37" xfId="53" applyFont="1" applyBorder="1" applyAlignment="1">
      <alignment/>
    </xf>
    <xf numFmtId="43" fontId="65" fillId="0" borderId="38" xfId="0" applyNumberFormat="1" applyFont="1" applyBorder="1" applyAlignment="1">
      <alignment/>
    </xf>
    <xf numFmtId="0" fontId="6" fillId="34" borderId="3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43" fontId="65" fillId="0" borderId="30" xfId="53" applyNumberFormat="1" applyFont="1" applyBorder="1" applyAlignment="1">
      <alignment/>
    </xf>
    <xf numFmtId="43" fontId="65" fillId="12" borderId="30" xfId="53" applyNumberFormat="1" applyFont="1" applyFill="1" applyBorder="1" applyAlignment="1">
      <alignment/>
    </xf>
    <xf numFmtId="43" fontId="37" fillId="36" borderId="30" xfId="0" applyNumberFormat="1" applyFont="1" applyFill="1" applyBorder="1" applyAlignment="1">
      <alignment/>
    </xf>
    <xf numFmtId="43" fontId="65" fillId="36" borderId="30" xfId="0" applyNumberFormat="1" applyFont="1" applyFill="1" applyBorder="1" applyAlignment="1">
      <alignment/>
    </xf>
    <xf numFmtId="43" fontId="65" fillId="0" borderId="30" xfId="0" applyNumberFormat="1" applyFont="1" applyBorder="1" applyAlignment="1">
      <alignment/>
    </xf>
    <xf numFmtId="43" fontId="65" fillId="0" borderId="40" xfId="0" applyNumberFormat="1" applyFont="1" applyBorder="1" applyAlignment="1">
      <alignment/>
    </xf>
    <xf numFmtId="0" fontId="6" fillId="34" borderId="28" xfId="0" applyFont="1" applyFill="1" applyBorder="1" applyAlignment="1">
      <alignment/>
    </xf>
    <xf numFmtId="44" fontId="65" fillId="0" borderId="40" xfId="53" applyFont="1" applyBorder="1" applyAlignment="1">
      <alignment/>
    </xf>
    <xf numFmtId="43" fontId="5" fillId="34" borderId="23" xfId="50" applyFont="1" applyFill="1" applyBorder="1" applyAlignment="1">
      <alignment/>
    </xf>
    <xf numFmtId="0" fontId="0" fillId="0" borderId="0" xfId="0" applyFill="1" applyBorder="1" applyAlignment="1">
      <alignment horizontal="justify" vertical="top" wrapText="1"/>
    </xf>
    <xf numFmtId="39" fontId="67" fillId="0" borderId="10" xfId="0" applyNumberFormat="1" applyFont="1" applyFill="1" applyBorder="1" applyAlignment="1">
      <alignment horizontal="right"/>
    </xf>
    <xf numFmtId="39" fontId="67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89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8" fillId="0" borderId="4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/>
    </xf>
    <xf numFmtId="44" fontId="68" fillId="0" borderId="17" xfId="53" applyFont="1" applyBorder="1" applyAlignment="1">
      <alignment horizontal="center"/>
    </xf>
    <xf numFmtId="9" fontId="65" fillId="0" borderId="14" xfId="0" applyNumberFormat="1" applyFont="1" applyBorder="1" applyAlignment="1">
      <alignment/>
    </xf>
    <xf numFmtId="9" fontId="65" fillId="0" borderId="20" xfId="0" applyNumberFormat="1" applyFont="1" applyBorder="1" applyAlignment="1">
      <alignment horizontal="center"/>
    </xf>
    <xf numFmtId="43" fontId="5" fillId="37" borderId="43" xfId="50" applyFont="1" applyFill="1" applyBorder="1" applyAlignment="1">
      <alignment horizontal="center"/>
    </xf>
    <xf numFmtId="43" fontId="5" fillId="12" borderId="25" xfId="50" applyFont="1" applyFill="1" applyBorder="1" applyAlignment="1">
      <alignment/>
    </xf>
    <xf numFmtId="43" fontId="5" fillId="13" borderId="26" xfId="50" applyFont="1" applyFill="1" applyBorder="1" applyAlignment="1">
      <alignment horizontal="center"/>
    </xf>
    <xf numFmtId="44" fontId="65" fillId="0" borderId="44" xfId="0" applyNumberFormat="1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39" xfId="0" applyFont="1" applyBorder="1" applyAlignment="1">
      <alignment/>
    </xf>
    <xf numFmtId="44" fontId="65" fillId="0" borderId="40" xfId="0" applyNumberFormat="1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44" fontId="65" fillId="0" borderId="0" xfId="0" applyNumberFormat="1" applyFont="1" applyBorder="1" applyAlignment="1">
      <alignment horizontal="center"/>
    </xf>
    <xf numFmtId="9" fontId="65" fillId="0" borderId="30" xfId="0" applyNumberFormat="1" applyFont="1" applyBorder="1" applyAlignment="1">
      <alignment/>
    </xf>
    <xf numFmtId="9" fontId="65" fillId="0" borderId="16" xfId="0" applyNumberFormat="1" applyFont="1" applyBorder="1" applyAlignment="1">
      <alignment horizontal="center" vertical="center"/>
    </xf>
    <xf numFmtId="9" fontId="65" fillId="0" borderId="0" xfId="0" applyNumberFormat="1" applyFont="1" applyBorder="1" applyAlignment="1">
      <alignment horizontal="center" vertical="center"/>
    </xf>
    <xf numFmtId="44" fontId="65" fillId="0" borderId="0" xfId="53" applyFont="1" applyBorder="1" applyAlignment="1">
      <alignment horizontal="center" vertical="center"/>
    </xf>
    <xf numFmtId="44" fontId="65" fillId="0" borderId="15" xfId="53" applyFont="1" applyBorder="1" applyAlignment="1">
      <alignment horizontal="center" vertical="center"/>
    </xf>
    <xf numFmtId="44" fontId="65" fillId="0" borderId="29" xfId="53" applyFont="1" applyBorder="1" applyAlignment="1">
      <alignment horizontal="center" vertical="center"/>
    </xf>
    <xf numFmtId="44" fontId="65" fillId="0" borderId="30" xfId="53" applyFont="1" applyBorder="1" applyAlignment="1">
      <alignment horizontal="center" vertical="center"/>
    </xf>
    <xf numFmtId="44" fontId="65" fillId="0" borderId="40" xfId="53" applyFont="1" applyBorder="1" applyAlignment="1">
      <alignment horizontal="center" vertical="center"/>
    </xf>
    <xf numFmtId="44" fontId="65" fillId="0" borderId="32" xfId="53" applyFont="1" applyBorder="1" applyAlignment="1">
      <alignment horizontal="center" vertical="center"/>
    </xf>
    <xf numFmtId="44" fontId="65" fillId="0" borderId="33" xfId="53" applyFont="1" applyBorder="1" applyAlignment="1">
      <alignment horizontal="center" vertical="center"/>
    </xf>
    <xf numFmtId="44" fontId="65" fillId="0" borderId="45" xfId="0" applyNumberFormat="1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5" fillId="0" borderId="47" xfId="0" applyFont="1" applyBorder="1" applyAlignment="1">
      <alignment horizontal="center"/>
    </xf>
    <xf numFmtId="0" fontId="65" fillId="0" borderId="48" xfId="0" applyFont="1" applyBorder="1" applyAlignment="1">
      <alignment/>
    </xf>
    <xf numFmtId="44" fontId="65" fillId="0" borderId="41" xfId="53" applyFont="1" applyBorder="1" applyAlignment="1">
      <alignment horizontal="center" vertical="center"/>
    </xf>
    <xf numFmtId="44" fontId="65" fillId="0" borderId="42" xfId="53" applyFont="1" applyBorder="1" applyAlignment="1">
      <alignment horizontal="center" vertical="center"/>
    </xf>
    <xf numFmtId="0" fontId="65" fillId="0" borderId="49" xfId="0" applyFont="1" applyBorder="1" applyAlignment="1">
      <alignment/>
    </xf>
    <xf numFmtId="41" fontId="65" fillId="0" borderId="32" xfId="53" applyNumberFormat="1" applyFont="1" applyBorder="1" applyAlignment="1">
      <alignment horizontal="center" vertical="center"/>
    </xf>
    <xf numFmtId="44" fontId="65" fillId="0" borderId="41" xfId="53" applyFont="1" applyBorder="1" applyAlignment="1">
      <alignment/>
    </xf>
    <xf numFmtId="44" fontId="65" fillId="0" borderId="50" xfId="0" applyNumberFormat="1" applyFont="1" applyBorder="1" applyAlignment="1">
      <alignment/>
    </xf>
    <xf numFmtId="0" fontId="70" fillId="0" borderId="13" xfId="0" applyFont="1" applyBorder="1" applyAlignment="1">
      <alignment/>
    </xf>
    <xf numFmtId="44" fontId="65" fillId="0" borderId="14" xfId="53" applyFont="1" applyBorder="1" applyAlignment="1">
      <alignment/>
    </xf>
    <xf numFmtId="37" fontId="2" fillId="0" borderId="10" xfId="55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/>
    </xf>
    <xf numFmtId="3" fontId="65" fillId="0" borderId="0" xfId="0" applyNumberFormat="1" applyFont="1" applyAlignment="1">
      <alignment/>
    </xf>
    <xf numFmtId="9" fontId="65" fillId="0" borderId="0" xfId="0" applyNumberFormat="1" applyFont="1" applyAlignment="1">
      <alignment/>
    </xf>
    <xf numFmtId="10" fontId="65" fillId="0" borderId="0" xfId="0" applyNumberFormat="1" applyFont="1" applyAlignment="1">
      <alignment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3" fontId="6" fillId="34" borderId="37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42" fontId="65" fillId="0" borderId="15" xfId="0" applyNumberFormat="1" applyFont="1" applyBorder="1" applyAlignment="1">
      <alignment/>
    </xf>
    <xf numFmtId="42" fontId="65" fillId="0" borderId="15" xfId="53" applyNumberFormat="1" applyFont="1" applyBorder="1" applyAlignment="1">
      <alignment horizontal="center" vertical="center"/>
    </xf>
    <xf numFmtId="42" fontId="65" fillId="0" borderId="29" xfId="53" applyNumberFormat="1" applyFont="1" applyBorder="1" applyAlignment="1">
      <alignment horizontal="center" vertical="center"/>
    </xf>
    <xf numFmtId="0" fontId="65" fillId="0" borderId="51" xfId="0" applyFont="1" applyBorder="1" applyAlignment="1">
      <alignment/>
    </xf>
    <xf numFmtId="42" fontId="65" fillId="0" borderId="52" xfId="0" applyNumberFormat="1" applyFont="1" applyBorder="1" applyAlignment="1">
      <alignment/>
    </xf>
    <xf numFmtId="42" fontId="65" fillId="0" borderId="52" xfId="53" applyNumberFormat="1" applyFont="1" applyBorder="1" applyAlignment="1">
      <alignment horizontal="center" vertical="center"/>
    </xf>
    <xf numFmtId="42" fontId="65" fillId="0" borderId="53" xfId="53" applyNumberFormat="1" applyFont="1" applyBorder="1" applyAlignment="1">
      <alignment horizontal="center" vertical="center"/>
    </xf>
    <xf numFmtId="41" fontId="65" fillId="0" borderId="54" xfId="0" applyNumberFormat="1" applyFont="1" applyBorder="1" applyAlignment="1">
      <alignment/>
    </xf>
    <xf numFmtId="41" fontId="65" fillId="0" borderId="15" xfId="53" applyNumberFormat="1" applyFont="1" applyBorder="1" applyAlignment="1">
      <alignment horizontal="center" vertical="center"/>
    </xf>
    <xf numFmtId="41" fontId="65" fillId="0" borderId="52" xfId="53" applyNumberFormat="1" applyFont="1" applyBorder="1" applyAlignment="1">
      <alignment horizontal="center" vertical="center"/>
    </xf>
    <xf numFmtId="41" fontId="65" fillId="0" borderId="11" xfId="0" applyNumberFormat="1" applyFont="1" applyBorder="1" applyAlignment="1">
      <alignment/>
    </xf>
    <xf numFmtId="0" fontId="65" fillId="0" borderId="55" xfId="0" applyFont="1" applyBorder="1" applyAlignment="1">
      <alignment/>
    </xf>
    <xf numFmtId="41" fontId="65" fillId="0" borderId="22" xfId="53" applyNumberFormat="1" applyFont="1" applyBorder="1" applyAlignment="1">
      <alignment horizontal="center" vertical="center"/>
    </xf>
    <xf numFmtId="3" fontId="65" fillId="0" borderId="30" xfId="0" applyNumberFormat="1" applyFont="1" applyBorder="1" applyAlignment="1">
      <alignment/>
    </xf>
    <xf numFmtId="1" fontId="65" fillId="0" borderId="37" xfId="0" applyNumberFormat="1" applyFont="1" applyBorder="1" applyAlignment="1">
      <alignment/>
    </xf>
    <xf numFmtId="1" fontId="65" fillId="0" borderId="32" xfId="0" applyNumberFormat="1" applyFont="1" applyBorder="1" applyAlignment="1">
      <alignment/>
    </xf>
    <xf numFmtId="1" fontId="65" fillId="0" borderId="15" xfId="0" applyNumberFormat="1" applyFont="1" applyBorder="1" applyAlignment="1">
      <alignment/>
    </xf>
    <xf numFmtId="1" fontId="65" fillId="0" borderId="30" xfId="0" applyNumberFormat="1" applyFont="1" applyBorder="1" applyAlignment="1">
      <alignment/>
    </xf>
    <xf numFmtId="42" fontId="65" fillId="0" borderId="38" xfId="53" applyNumberFormat="1" applyFont="1" applyBorder="1" applyAlignment="1">
      <alignment/>
    </xf>
    <xf numFmtId="42" fontId="65" fillId="0" borderId="29" xfId="53" applyNumberFormat="1" applyFont="1" applyBorder="1" applyAlignment="1">
      <alignment/>
    </xf>
    <xf numFmtId="42" fontId="65" fillId="0" borderId="18" xfId="53" applyNumberFormat="1" applyFont="1" applyBorder="1" applyAlignment="1">
      <alignment/>
    </xf>
    <xf numFmtId="41" fontId="2" fillId="0" borderId="10" xfId="55" applyNumberFormat="1" applyFont="1" applyFill="1" applyBorder="1" applyAlignment="1">
      <alignment horizontal="right" vertical="center"/>
    </xf>
    <xf numFmtId="41" fontId="67" fillId="0" borderId="12" xfId="0" applyNumberFormat="1" applyFont="1" applyBorder="1" applyAlignment="1">
      <alignment horizontal="right"/>
    </xf>
    <xf numFmtId="37" fontId="6" fillId="34" borderId="28" xfId="0" applyNumberFormat="1" applyFont="1" applyFill="1" applyBorder="1" applyAlignment="1">
      <alignment/>
    </xf>
    <xf numFmtId="37" fontId="6" fillId="34" borderId="3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/>
    </xf>
    <xf numFmtId="3" fontId="6" fillId="18" borderId="15" xfId="0" applyNumberFormat="1" applyFont="1" applyFill="1" applyBorder="1" applyAlignment="1">
      <alignment/>
    </xf>
    <xf numFmtId="3" fontId="6" fillId="18" borderId="29" xfId="0" applyNumberFormat="1" applyFont="1" applyFill="1" applyBorder="1" applyAlignment="1">
      <alignment/>
    </xf>
    <xf numFmtId="3" fontId="6" fillId="34" borderId="30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34" borderId="30" xfId="53" applyNumberFormat="1" applyFont="1" applyFill="1" applyBorder="1" applyAlignment="1">
      <alignment/>
    </xf>
    <xf numFmtId="3" fontId="6" fillId="18" borderId="30" xfId="53" applyNumberFormat="1" applyFont="1" applyFill="1" applyBorder="1" applyAlignment="1">
      <alignment horizontal="right"/>
    </xf>
    <xf numFmtId="3" fontId="6" fillId="18" borderId="40" xfId="53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41" fontId="0" fillId="0" borderId="56" xfId="0" applyNumberFormat="1" applyFont="1" applyFill="1" applyBorder="1" applyAlignment="1">
      <alignment wrapText="1"/>
    </xf>
    <xf numFmtId="41" fontId="10" fillId="0" borderId="56" xfId="0" applyNumberFormat="1" applyFont="1" applyFill="1" applyBorder="1" applyAlignment="1">
      <alignment/>
    </xf>
    <xf numFmtId="41" fontId="11" fillId="0" borderId="57" xfId="0" applyNumberFormat="1" applyFont="1" applyFill="1" applyBorder="1" applyAlignment="1">
      <alignment/>
    </xf>
    <xf numFmtId="41" fontId="0" fillId="0" borderId="58" xfId="0" applyNumberFormat="1" applyFont="1" applyFill="1" applyBorder="1" applyAlignment="1">
      <alignment wrapText="1"/>
    </xf>
    <xf numFmtId="41" fontId="0" fillId="0" borderId="0" xfId="0" applyNumberFormat="1" applyAlignment="1">
      <alignment vertical="center"/>
    </xf>
    <xf numFmtId="41" fontId="1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201" fontId="0" fillId="0" borderId="0" xfId="0" applyNumberFormat="1" applyAlignment="1">
      <alignment/>
    </xf>
    <xf numFmtId="43" fontId="6" fillId="34" borderId="0" xfId="0" applyNumberFormat="1" applyFont="1" applyFill="1" applyAlignment="1">
      <alignment/>
    </xf>
    <xf numFmtId="3" fontId="6" fillId="34" borderId="0" xfId="53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" fontId="71" fillId="0" borderId="0" xfId="0" applyNumberFormat="1" applyFont="1" applyAlignment="1">
      <alignment vertical="center"/>
    </xf>
    <xf numFmtId="3" fontId="71" fillId="0" borderId="58" xfId="0" applyNumberFormat="1" applyFont="1" applyFill="1" applyBorder="1" applyAlignment="1">
      <alignment wrapText="1"/>
    </xf>
    <xf numFmtId="3" fontId="71" fillId="0" borderId="0" xfId="0" applyNumberFormat="1" applyFont="1" applyFill="1" applyBorder="1" applyAlignment="1">
      <alignment wrapText="1"/>
    </xf>
    <xf numFmtId="0" fontId="9" fillId="34" borderId="0" xfId="0" applyFont="1" applyFill="1" applyAlignment="1">
      <alignment horizontal="center" vertical="center"/>
    </xf>
    <xf numFmtId="43" fontId="5" fillId="17" borderId="19" xfId="50" applyFont="1" applyFill="1" applyBorder="1" applyAlignment="1">
      <alignment horizontal="center" vertical="center"/>
    </xf>
    <xf numFmtId="43" fontId="5" fillId="17" borderId="59" xfId="50" applyFont="1" applyFill="1" applyBorder="1" applyAlignment="1">
      <alignment horizontal="center" vertical="center"/>
    </xf>
    <xf numFmtId="43" fontId="12" fillId="37" borderId="25" xfId="50" applyFont="1" applyFill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44" fontId="65" fillId="0" borderId="14" xfId="0" applyNumberFormat="1" applyFont="1" applyBorder="1" applyAlignment="1">
      <alignment horizontal="center"/>
    </xf>
    <xf numFmtId="0" fontId="68" fillId="0" borderId="37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35" borderId="37" xfId="0" applyFont="1" applyFill="1" applyBorder="1" applyAlignment="1">
      <alignment horizontal="center" vertical="center"/>
    </xf>
    <xf numFmtId="0" fontId="68" fillId="35" borderId="30" xfId="0" applyFont="1" applyFill="1" applyBorder="1" applyAlignment="1">
      <alignment horizontal="center" vertical="center"/>
    </xf>
    <xf numFmtId="0" fontId="73" fillId="12" borderId="37" xfId="0" applyFont="1" applyFill="1" applyBorder="1" applyAlignment="1">
      <alignment horizontal="center" vertical="center" wrapText="1"/>
    </xf>
    <xf numFmtId="0" fontId="73" fillId="12" borderId="30" xfId="0" applyFont="1" applyFill="1" applyBorder="1" applyAlignment="1">
      <alignment horizontal="center" vertical="center" wrapText="1"/>
    </xf>
    <xf numFmtId="0" fontId="73" fillId="36" borderId="37" xfId="0" applyFont="1" applyFill="1" applyBorder="1" applyAlignment="1">
      <alignment horizontal="center" vertical="center" wrapText="1"/>
    </xf>
    <xf numFmtId="0" fontId="73" fillId="36" borderId="30" xfId="0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9" fillId="0" borderId="25" xfId="0" applyFont="1" applyBorder="1" applyAlignment="1">
      <alignment horizontal="center" wrapText="1"/>
    </xf>
    <xf numFmtId="0" fontId="69" fillId="0" borderId="26" xfId="0" applyFont="1" applyBorder="1" applyAlignment="1">
      <alignment horizontal="center"/>
    </xf>
    <xf numFmtId="0" fontId="41" fillId="36" borderId="37" xfId="0" applyFont="1" applyFill="1" applyBorder="1" applyAlignment="1">
      <alignment horizontal="center" vertical="center" wrapText="1"/>
    </xf>
    <xf numFmtId="0" fontId="41" fillId="36" borderId="30" xfId="0" applyFont="1" applyFill="1" applyBorder="1" applyAlignment="1">
      <alignment horizontal="center" vertical="center" wrapText="1"/>
    </xf>
    <xf numFmtId="0" fontId="68" fillId="18" borderId="36" xfId="0" applyFont="1" applyFill="1" applyBorder="1" applyAlignment="1">
      <alignment horizontal="center" vertical="center"/>
    </xf>
    <xf numFmtId="0" fontId="68" fillId="18" borderId="39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37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/>
    </xf>
    <xf numFmtId="44" fontId="68" fillId="0" borderId="37" xfId="53" applyFont="1" applyBorder="1" applyAlignment="1">
      <alignment horizontal="center" vertical="center"/>
    </xf>
    <xf numFmtId="44" fontId="68" fillId="0" borderId="30" xfId="53" applyFont="1" applyBorder="1" applyAlignment="1">
      <alignment horizontal="center" vertical="center"/>
    </xf>
    <xf numFmtId="0" fontId="65" fillId="0" borderId="60" xfId="0" applyFont="1" applyBorder="1" applyAlignment="1">
      <alignment horizontal="center"/>
    </xf>
    <xf numFmtId="0" fontId="65" fillId="0" borderId="61" xfId="0" applyFont="1" applyBorder="1" applyAlignment="1">
      <alignment horizontal="center"/>
    </xf>
    <xf numFmtId="0" fontId="65" fillId="0" borderId="62" xfId="0" applyFont="1" applyBorder="1" applyAlignment="1">
      <alignment horizontal="center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/>
    </xf>
    <xf numFmtId="0" fontId="74" fillId="38" borderId="63" xfId="0" applyFont="1" applyFill="1" applyBorder="1" applyAlignment="1">
      <alignment horizontal="center" vertical="center" wrapText="1"/>
    </xf>
    <xf numFmtId="0" fontId="74" fillId="38" borderId="64" xfId="0" applyFont="1" applyFill="1" applyBorder="1" applyAlignment="1">
      <alignment horizontal="center" vertical="center" wrapText="1"/>
    </xf>
    <xf numFmtId="0" fontId="74" fillId="38" borderId="12" xfId="0" applyFont="1" applyFill="1" applyBorder="1" applyAlignment="1">
      <alignment horizontal="center" vertical="center" wrapText="1"/>
    </xf>
    <xf numFmtId="0" fontId="74" fillId="38" borderId="65" xfId="0" applyFont="1" applyFill="1" applyBorder="1" applyAlignment="1">
      <alignment horizontal="center" vertical="center" wrapText="1"/>
    </xf>
    <xf numFmtId="43" fontId="5" fillId="34" borderId="19" xfId="50" applyFont="1" applyFill="1" applyBorder="1" applyAlignment="1">
      <alignment horizontal="center"/>
    </xf>
    <xf numFmtId="43" fontId="5" fillId="34" borderId="16" xfId="5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65" xfId="0" applyFont="1" applyFill="1" applyBorder="1" applyAlignment="1">
      <alignment horizontal="center" vertical="center" wrapText="1"/>
    </xf>
    <xf numFmtId="0" fontId="74" fillId="23" borderId="64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/>
    </xf>
    <xf numFmtId="189" fontId="10" fillId="0" borderId="0" xfId="0" applyNumberFormat="1" applyFont="1" applyFill="1" applyAlignment="1">
      <alignment horizontal="center"/>
    </xf>
    <xf numFmtId="0" fontId="7" fillId="34" borderId="0" xfId="57" applyFont="1" applyFill="1" applyBorder="1" applyAlignment="1">
      <alignment horizontal="center"/>
      <protection/>
    </xf>
    <xf numFmtId="43" fontId="5" fillId="13" borderId="25" xfId="50" applyFont="1" applyFill="1" applyBorder="1" applyAlignment="1">
      <alignment horizontal="center"/>
    </xf>
    <xf numFmtId="0" fontId="44" fillId="34" borderId="0" xfId="0" applyFont="1" applyFill="1" applyAlignment="1">
      <alignment/>
    </xf>
    <xf numFmtId="43" fontId="5" fillId="17" borderId="21" xfId="50" applyFont="1" applyFill="1" applyBorder="1" applyAlignment="1">
      <alignment horizontal="center" vertical="center"/>
    </xf>
    <xf numFmtId="43" fontId="5" fillId="17" borderId="66" xfId="50" applyFont="1" applyFill="1" applyBorder="1" applyAlignment="1">
      <alignment horizontal="center" vertical="center"/>
    </xf>
    <xf numFmtId="43" fontId="5" fillId="37" borderId="50" xfId="50" applyFont="1" applyFill="1" applyBorder="1" applyAlignment="1">
      <alignment/>
    </xf>
    <xf numFmtId="43" fontId="12" fillId="37" borderId="26" xfId="50" applyFont="1" applyFill="1" applyBorder="1" applyAlignment="1">
      <alignment horizontal="center" vertical="center"/>
    </xf>
    <xf numFmtId="43" fontId="5" fillId="12" borderId="26" xfId="50" applyFont="1" applyFill="1" applyBorder="1" applyAlignment="1">
      <alignment/>
    </xf>
    <xf numFmtId="0" fontId="5" fillId="34" borderId="67" xfId="57" applyFont="1" applyFill="1" applyBorder="1" applyAlignment="1">
      <alignment horizontal="left" wrapText="1" shrinkToFit="1"/>
      <protection/>
    </xf>
    <xf numFmtId="41" fontId="5" fillId="34" borderId="67" xfId="50" applyNumberFormat="1" applyFont="1" applyFill="1" applyBorder="1" applyAlignment="1">
      <alignment horizontal="center" wrapText="1" shrinkToFit="1"/>
    </xf>
    <xf numFmtId="0" fontId="5" fillId="34" borderId="67" xfId="57" applyFont="1" applyFill="1" applyBorder="1">
      <alignment/>
      <protection/>
    </xf>
    <xf numFmtId="41" fontId="5" fillId="34" borderId="67" xfId="50" applyNumberFormat="1" applyFont="1" applyFill="1" applyBorder="1" applyAlignment="1">
      <alignment/>
    </xf>
    <xf numFmtId="41" fontId="6" fillId="34" borderId="67" xfId="0" applyNumberFormat="1" applyFont="1" applyFill="1" applyBorder="1" applyAlignment="1">
      <alignment/>
    </xf>
    <xf numFmtId="0" fontId="8" fillId="34" borderId="67" xfId="57" applyFont="1" applyFill="1" applyBorder="1">
      <alignment/>
      <protection/>
    </xf>
    <xf numFmtId="0" fontId="5" fillId="0" borderId="67" xfId="57" applyFont="1" applyFill="1" applyBorder="1">
      <alignment/>
      <protection/>
    </xf>
    <xf numFmtId="41" fontId="5" fillId="0" borderId="67" xfId="50" applyNumberFormat="1" applyFont="1" applyFill="1" applyBorder="1" applyAlignment="1">
      <alignment/>
    </xf>
    <xf numFmtId="41" fontId="6" fillId="0" borderId="67" xfId="0" applyNumberFormat="1" applyFont="1" applyFill="1" applyBorder="1" applyAlignment="1">
      <alignment/>
    </xf>
    <xf numFmtId="0" fontId="7" fillId="0" borderId="67" xfId="57" applyFont="1" applyFill="1" applyBorder="1" applyAlignment="1">
      <alignment horizontal="right"/>
      <protection/>
    </xf>
    <xf numFmtId="41" fontId="7" fillId="0" borderId="67" xfId="50" applyNumberFormat="1" applyFont="1" applyFill="1" applyBorder="1" applyAlignment="1">
      <alignment/>
    </xf>
    <xf numFmtId="0" fontId="8" fillId="0" borderId="67" xfId="57" applyFont="1" applyFill="1" applyBorder="1">
      <alignment/>
      <protection/>
    </xf>
    <xf numFmtId="0" fontId="7" fillId="34" borderId="67" xfId="57" applyFont="1" applyFill="1" applyBorder="1" applyAlignment="1">
      <alignment horizontal="right"/>
      <protection/>
    </xf>
    <xf numFmtId="41" fontId="7" fillId="34" borderId="67" xfId="50" applyNumberFormat="1" applyFont="1" applyFill="1" applyBorder="1" applyAlignment="1">
      <alignment/>
    </xf>
    <xf numFmtId="0" fontId="5" fillId="34" borderId="68" xfId="57" applyFont="1" applyFill="1" applyBorder="1">
      <alignment/>
      <protection/>
    </xf>
    <xf numFmtId="201" fontId="5" fillId="34" borderId="68" xfId="50" applyNumberFormat="1" applyFont="1" applyFill="1" applyBorder="1" applyAlignment="1">
      <alignment/>
    </xf>
    <xf numFmtId="200" fontId="5" fillId="34" borderId="68" xfId="50" applyNumberFormat="1" applyFont="1" applyFill="1" applyBorder="1" applyAlignment="1">
      <alignment/>
    </xf>
    <xf numFmtId="41" fontId="5" fillId="34" borderId="68" xfId="50" applyNumberFormat="1" applyFont="1" applyFill="1" applyBorder="1" applyAlignment="1">
      <alignment/>
    </xf>
    <xf numFmtId="0" fontId="74" fillId="34" borderId="69" xfId="0" applyFont="1" applyFill="1" applyBorder="1" applyAlignment="1">
      <alignment horizontal="center" vertical="center" wrapText="1"/>
    </xf>
    <xf numFmtId="0" fontId="5" fillId="34" borderId="70" xfId="57" applyFont="1" applyFill="1" applyBorder="1">
      <alignment/>
      <protection/>
    </xf>
    <xf numFmtId="41" fontId="5" fillId="34" borderId="70" xfId="50" applyNumberFormat="1" applyFont="1" applyFill="1" applyBorder="1" applyAlignment="1">
      <alignment/>
    </xf>
    <xf numFmtId="41" fontId="6" fillId="34" borderId="70" xfId="0" applyNumberFormat="1" applyFont="1" applyFill="1" applyBorder="1" applyAlignment="1">
      <alignment/>
    </xf>
    <xf numFmtId="0" fontId="5" fillId="34" borderId="69" xfId="57" applyFont="1" applyFill="1" applyBorder="1">
      <alignment/>
      <protection/>
    </xf>
    <xf numFmtId="41" fontId="5" fillId="34" borderId="69" xfId="50" applyNumberFormat="1" applyFont="1" applyFill="1" applyBorder="1" applyAlignment="1">
      <alignment/>
    </xf>
    <xf numFmtId="41" fontId="6" fillId="34" borderId="69" xfId="0" applyNumberFormat="1" applyFont="1" applyFill="1" applyBorder="1" applyAlignment="1">
      <alignment/>
    </xf>
    <xf numFmtId="0" fontId="7" fillId="0" borderId="71" xfId="57" applyFont="1" applyFill="1" applyBorder="1">
      <alignment/>
      <protection/>
    </xf>
    <xf numFmtId="41" fontId="7" fillId="0" borderId="71" xfId="5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3" fontId="6" fillId="34" borderId="15" xfId="53" applyNumberFormat="1" applyFont="1" applyFill="1" applyBorder="1" applyAlignment="1">
      <alignment wrapText="1"/>
    </xf>
    <xf numFmtId="37" fontId="9" fillId="34" borderId="36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39" fontId="9" fillId="34" borderId="37" xfId="0" applyNumberFormat="1" applyFont="1" applyFill="1" applyBorder="1" applyAlignment="1">
      <alignment horizontal="center"/>
    </xf>
    <xf numFmtId="0" fontId="9" fillId="34" borderId="37" xfId="0" applyNumberFormat="1" applyFont="1" applyFill="1" applyBorder="1" applyAlignment="1">
      <alignment horizontal="center"/>
    </xf>
    <xf numFmtId="39" fontId="9" fillId="0" borderId="37" xfId="0" applyNumberFormat="1" applyFont="1" applyFill="1" applyBorder="1" applyAlignment="1">
      <alignment horizontal="center" wrapText="1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9" fillId="34" borderId="0" xfId="0" applyFont="1" applyFill="1" applyAlignment="1">
      <alignment horizontal="right"/>
    </xf>
    <xf numFmtId="0" fontId="45" fillId="0" borderId="71" xfId="0" applyFont="1" applyFill="1" applyBorder="1" applyAlignment="1">
      <alignment horizontal="center" wrapText="1"/>
    </xf>
    <xf numFmtId="3" fontId="65" fillId="0" borderId="39" xfId="0" applyNumberFormat="1" applyFont="1" applyBorder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9" fontId="30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3" fontId="43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3" fontId="71" fillId="0" borderId="0" xfId="0" applyNumberFormat="1" applyFont="1" applyAlignment="1">
      <alignment/>
    </xf>
    <xf numFmtId="3" fontId="71" fillId="0" borderId="56" xfId="53" applyNumberFormat="1" applyFont="1" applyBorder="1" applyAlignment="1">
      <alignment vertical="center"/>
    </xf>
    <xf numFmtId="0" fontId="3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right"/>
    </xf>
    <xf numFmtId="3" fontId="46" fillId="0" borderId="58" xfId="0" applyNumberFormat="1" applyFont="1" applyFill="1" applyBorder="1" applyAlignment="1">
      <alignment/>
    </xf>
    <xf numFmtId="3" fontId="75" fillId="0" borderId="72" xfId="0" applyNumberFormat="1" applyFont="1" applyBorder="1" applyAlignment="1">
      <alignment vertical="center"/>
    </xf>
    <xf numFmtId="4" fontId="71" fillId="0" borderId="0" xfId="0" applyNumberFormat="1" applyFont="1" applyAlignment="1">
      <alignment vertical="center"/>
    </xf>
    <xf numFmtId="0" fontId="0" fillId="0" borderId="15" xfId="0" applyBorder="1" applyAlignment="1">
      <alignment/>
    </xf>
    <xf numFmtId="0" fontId="39" fillId="0" borderId="15" xfId="0" applyFont="1" applyBorder="1" applyAlignment="1">
      <alignment horizontal="left"/>
    </xf>
    <xf numFmtId="3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64" fillId="0" borderId="15" xfId="0" applyFont="1" applyBorder="1" applyAlignment="1">
      <alignment/>
    </xf>
    <xf numFmtId="0" fontId="64" fillId="0" borderId="15" xfId="0" applyFont="1" applyBorder="1" applyAlignment="1">
      <alignment horizontal="center"/>
    </xf>
    <xf numFmtId="43" fontId="6" fillId="34" borderId="15" xfId="0" applyNumberFormat="1" applyFont="1" applyFill="1" applyBorder="1" applyAlignment="1">
      <alignment/>
    </xf>
    <xf numFmtId="44" fontId="6" fillId="34" borderId="15" xfId="53" applyFont="1" applyFill="1" applyBorder="1" applyAlignment="1">
      <alignment/>
    </xf>
    <xf numFmtId="44" fontId="6" fillId="34" borderId="15" xfId="0" applyNumberFormat="1" applyFont="1" applyFill="1" applyBorder="1" applyAlignment="1">
      <alignment/>
    </xf>
    <xf numFmtId="0" fontId="6" fillId="34" borderId="73" xfId="0" applyFont="1" applyFill="1" applyBorder="1" applyAlignment="1">
      <alignment/>
    </xf>
    <xf numFmtId="0" fontId="6" fillId="34" borderId="74" xfId="0" applyFont="1" applyFill="1" applyBorder="1" applyAlignment="1">
      <alignment/>
    </xf>
    <xf numFmtId="44" fontId="65" fillId="39" borderId="16" xfId="53" applyFont="1" applyFill="1" applyBorder="1" applyAlignment="1">
      <alignment horizontal="center" vertical="center"/>
    </xf>
    <xf numFmtId="44" fontId="65" fillId="39" borderId="17" xfId="53" applyFont="1" applyFill="1" applyBorder="1" applyAlignment="1">
      <alignment horizontal="center" vertical="center"/>
    </xf>
    <xf numFmtId="0" fontId="68" fillId="39" borderId="75" xfId="0" applyFont="1" applyFill="1" applyBorder="1" applyAlignment="1">
      <alignment horizontal="center" vertical="center"/>
    </xf>
    <xf numFmtId="0" fontId="68" fillId="39" borderId="49" xfId="0" applyFont="1" applyFill="1" applyBorder="1" applyAlignment="1">
      <alignment horizontal="center" vertical="center"/>
    </xf>
    <xf numFmtId="0" fontId="65" fillId="39" borderId="19" xfId="0" applyFont="1" applyFill="1" applyBorder="1" applyAlignment="1">
      <alignment horizontal="center"/>
    </xf>
    <xf numFmtId="0" fontId="65" fillId="39" borderId="23" xfId="0" applyFont="1" applyFill="1" applyBorder="1" applyAlignment="1">
      <alignment horizontal="center"/>
    </xf>
    <xf numFmtId="0" fontId="65" fillId="39" borderId="36" xfId="0" applyFont="1" applyFill="1" applyBorder="1" applyAlignment="1">
      <alignment horizontal="center"/>
    </xf>
    <xf numFmtId="0" fontId="65" fillId="39" borderId="39" xfId="0" applyFont="1" applyFill="1" applyBorder="1" applyAlignment="1">
      <alignment horizontal="center"/>
    </xf>
    <xf numFmtId="0" fontId="65" fillId="39" borderId="19" xfId="0" applyFont="1" applyFill="1" applyBorder="1" applyAlignment="1">
      <alignment horizontal="center" vertical="center"/>
    </xf>
    <xf numFmtId="0" fontId="65" fillId="39" borderId="23" xfId="0" applyFont="1" applyFill="1" applyBorder="1" applyAlignment="1">
      <alignment horizontal="center" vertical="center"/>
    </xf>
    <xf numFmtId="0" fontId="65" fillId="39" borderId="20" xfId="0" applyFont="1" applyFill="1" applyBorder="1" applyAlignment="1">
      <alignment horizontal="center" vertical="center"/>
    </xf>
    <xf numFmtId="0" fontId="65" fillId="39" borderId="18" xfId="0" applyFont="1" applyFill="1" applyBorder="1" applyAlignment="1">
      <alignment horizontal="center" vertical="center"/>
    </xf>
    <xf numFmtId="0" fontId="65" fillId="39" borderId="25" xfId="0" applyFont="1" applyFill="1" applyBorder="1" applyAlignment="1">
      <alignment horizontal="center" vertical="center"/>
    </xf>
    <xf numFmtId="0" fontId="65" fillId="39" borderId="26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41" fontId="65" fillId="0" borderId="0" xfId="0" applyNumberFormat="1" applyFont="1" applyFill="1" applyBorder="1" applyAlignment="1">
      <alignment/>
    </xf>
    <xf numFmtId="41" fontId="65" fillId="0" borderId="0" xfId="53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5" fillId="32" borderId="47" xfId="0" applyFont="1" applyFill="1" applyBorder="1" applyAlignment="1">
      <alignment horizontal="center"/>
    </xf>
    <xf numFmtId="44" fontId="65" fillId="32" borderId="44" xfId="0" applyNumberFormat="1" applyFont="1" applyFill="1" applyBorder="1" applyAlignment="1">
      <alignment horizontal="center"/>
    </xf>
    <xf numFmtId="44" fontId="65" fillId="32" borderId="33" xfId="53" applyFont="1" applyFill="1" applyBorder="1" applyAlignment="1">
      <alignment horizontal="center" vertical="center"/>
    </xf>
    <xf numFmtId="0" fontId="65" fillId="32" borderId="37" xfId="0" applyFont="1" applyFill="1" applyBorder="1" applyAlignment="1">
      <alignment horizontal="center" vertical="center" wrapText="1"/>
    </xf>
    <xf numFmtId="0" fontId="65" fillId="32" borderId="30" xfId="0" applyFont="1" applyFill="1" applyBorder="1" applyAlignment="1">
      <alignment horizontal="center" vertical="center"/>
    </xf>
    <xf numFmtId="44" fontId="65" fillId="32" borderId="32" xfId="53" applyFont="1" applyFill="1" applyBorder="1" applyAlignment="1">
      <alignment horizontal="center" vertical="center"/>
    </xf>
    <xf numFmtId="0" fontId="65" fillId="32" borderId="75" xfId="0" applyFont="1" applyFill="1" applyBorder="1" applyAlignment="1">
      <alignment horizontal="center"/>
    </xf>
    <xf numFmtId="42" fontId="65" fillId="32" borderId="34" xfId="0" applyNumberFormat="1" applyFont="1" applyFill="1" applyBorder="1" applyAlignment="1">
      <alignment/>
    </xf>
    <xf numFmtId="42" fontId="65" fillId="32" borderId="34" xfId="53" applyNumberFormat="1" applyFont="1" applyFill="1" applyBorder="1" applyAlignment="1">
      <alignment horizontal="center" vertical="center"/>
    </xf>
    <xf numFmtId="42" fontId="65" fillId="32" borderId="35" xfId="53" applyNumberFormat="1" applyFont="1" applyFill="1" applyBorder="1" applyAlignment="1">
      <alignment horizontal="center" vertical="center"/>
    </xf>
    <xf numFmtId="0" fontId="65" fillId="32" borderId="49" xfId="0" applyFont="1" applyFill="1" applyBorder="1" applyAlignment="1">
      <alignment horizontal="center"/>
    </xf>
    <xf numFmtId="0" fontId="65" fillId="32" borderId="38" xfId="0" applyFont="1" applyFill="1" applyBorder="1" applyAlignment="1">
      <alignment horizontal="center" vertical="center" wrapText="1"/>
    </xf>
    <xf numFmtId="0" fontId="65" fillId="32" borderId="40" xfId="0" applyFont="1" applyFill="1" applyBorder="1" applyAlignment="1">
      <alignment horizontal="center" vertical="center"/>
    </xf>
    <xf numFmtId="41" fontId="65" fillId="32" borderId="34" xfId="0" applyNumberFormat="1" applyFont="1" applyFill="1" applyBorder="1" applyAlignment="1">
      <alignment/>
    </xf>
    <xf numFmtId="41" fontId="65" fillId="32" borderId="34" xfId="53" applyNumberFormat="1" applyFont="1" applyFill="1" applyBorder="1" applyAlignment="1">
      <alignment horizontal="center" vertical="center"/>
    </xf>
    <xf numFmtId="41" fontId="65" fillId="32" borderId="35" xfId="53" applyNumberFormat="1" applyFont="1" applyFill="1" applyBorder="1" applyAlignment="1">
      <alignment horizontal="center" vertical="center"/>
    </xf>
    <xf numFmtId="0" fontId="65" fillId="8" borderId="13" xfId="0" applyFont="1" applyFill="1" applyBorder="1" applyAlignment="1">
      <alignment horizontal="center"/>
    </xf>
    <xf numFmtId="0" fontId="65" fillId="8" borderId="14" xfId="0" applyFont="1" applyFill="1" applyBorder="1" applyAlignment="1">
      <alignment horizontal="center"/>
    </xf>
    <xf numFmtId="0" fontId="65" fillId="8" borderId="27" xfId="0" applyFont="1" applyFill="1" applyBorder="1" applyAlignment="1">
      <alignment horizontal="center"/>
    </xf>
    <xf numFmtId="0" fontId="69" fillId="8" borderId="25" xfId="0" applyFont="1" applyFill="1" applyBorder="1" applyAlignment="1">
      <alignment horizontal="center"/>
    </xf>
    <xf numFmtId="0" fontId="65" fillId="8" borderId="24" xfId="0" applyFont="1" applyFill="1" applyBorder="1" applyAlignment="1">
      <alignment horizontal="center"/>
    </xf>
    <xf numFmtId="0" fontId="69" fillId="8" borderId="11" xfId="0" applyFont="1" applyFill="1" applyBorder="1" applyAlignment="1">
      <alignment horizontal="center"/>
    </xf>
    <xf numFmtId="44" fontId="65" fillId="8" borderId="24" xfId="0" applyNumberFormat="1" applyFont="1" applyFill="1" applyBorder="1" applyAlignment="1">
      <alignment/>
    </xf>
    <xf numFmtId="44" fontId="65" fillId="8" borderId="27" xfId="0" applyNumberFormat="1" applyFont="1" applyFill="1" applyBorder="1" applyAlignment="1">
      <alignment/>
    </xf>
    <xf numFmtId="0" fontId="65" fillId="8" borderId="25" xfId="0" applyFont="1" applyFill="1" applyBorder="1" applyAlignment="1">
      <alignment horizontal="center" vertical="center"/>
    </xf>
    <xf numFmtId="0" fontId="65" fillId="8" borderId="26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"/>
  <sheetViews>
    <sheetView zoomScalePageLayoutView="0" workbookViewId="0" topLeftCell="A1">
      <selection activeCell="K68" sqref="K68"/>
    </sheetView>
  </sheetViews>
  <sheetFormatPr defaultColWidth="11.00390625" defaultRowHeight="15"/>
  <cols>
    <col min="1" max="1" width="33.7109375" style="12" customWidth="1"/>
    <col min="2" max="2" width="12.8515625" style="12" bestFit="1" customWidth="1"/>
    <col min="3" max="3" width="14.140625" style="12" customWidth="1"/>
    <col min="4" max="4" width="29.7109375" style="12" hidden="1" customWidth="1"/>
    <col min="5" max="5" width="15.7109375" style="12" hidden="1" customWidth="1"/>
    <col min="6" max="6" width="15.28125" style="12" bestFit="1" customWidth="1"/>
    <col min="7" max="7" width="17.7109375" style="12" customWidth="1"/>
    <col min="8" max="8" width="16.57421875" style="12" hidden="1" customWidth="1"/>
    <col min="9" max="9" width="14.421875" style="12" customWidth="1"/>
    <col min="10" max="10" width="12.8515625" style="12" bestFit="1" customWidth="1"/>
    <col min="11" max="11" width="10.8515625" style="12" bestFit="1" customWidth="1"/>
    <col min="12" max="12" width="14.28125" style="12" bestFit="1" customWidth="1"/>
    <col min="13" max="13" width="11.8515625" style="12" bestFit="1" customWidth="1"/>
    <col min="14" max="14" width="1.421875" style="12" customWidth="1"/>
    <col min="15" max="15" width="17.421875" style="12" bestFit="1" customWidth="1"/>
    <col min="16" max="16384" width="11.00390625" style="12" customWidth="1"/>
  </cols>
  <sheetData>
    <row r="1" spans="1:13" ht="8.25" customHeight="1">
      <c r="A1" s="203" t="s">
        <v>174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9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3.5" thickBot="1">
      <c r="A3" s="261" t="s">
        <v>175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2" ht="13.5" thickBot="1">
      <c r="A4" s="10"/>
      <c r="B4" s="11"/>
      <c r="C4" s="11"/>
      <c r="D4" s="11"/>
      <c r="E4" s="11"/>
      <c r="F4" s="11"/>
      <c r="G4" s="262" t="s">
        <v>26</v>
      </c>
      <c r="H4" s="11"/>
      <c r="I4" s="11"/>
      <c r="J4" s="11"/>
      <c r="K4" s="11"/>
      <c r="L4" s="11"/>
    </row>
    <row r="5" spans="1:12" ht="15" customHeight="1">
      <c r="A5" s="10"/>
      <c r="B5" s="204" t="s">
        <v>22</v>
      </c>
      <c r="C5" s="205"/>
      <c r="D5" s="105" t="s">
        <v>24</v>
      </c>
      <c r="E5" s="105" t="s">
        <v>24</v>
      </c>
      <c r="F5" s="206" t="s">
        <v>158</v>
      </c>
      <c r="G5" s="107" t="s">
        <v>247</v>
      </c>
      <c r="H5" s="106" t="s">
        <v>28</v>
      </c>
      <c r="I5" s="11"/>
      <c r="J5" s="11"/>
      <c r="K5" s="11"/>
      <c r="L5" s="11"/>
    </row>
    <row r="6" spans="1:12" ht="15.75" customHeight="1" thickBot="1">
      <c r="A6" s="10"/>
      <c r="B6" s="264"/>
      <c r="C6" s="265"/>
      <c r="D6" s="266" t="s">
        <v>25</v>
      </c>
      <c r="E6" s="266" t="s">
        <v>25</v>
      </c>
      <c r="F6" s="267"/>
      <c r="G6" s="107" t="s">
        <v>23</v>
      </c>
      <c r="H6" s="268" t="s">
        <v>29</v>
      </c>
      <c r="I6" s="11"/>
      <c r="J6" s="11"/>
      <c r="K6" s="11"/>
      <c r="L6" s="11"/>
    </row>
    <row r="7" spans="1:13" s="263" customFormat="1" ht="24.75" thickBot="1">
      <c r="A7" s="315" t="s">
        <v>0</v>
      </c>
      <c r="B7" s="315" t="s">
        <v>89</v>
      </c>
      <c r="C7" s="315" t="s">
        <v>85</v>
      </c>
      <c r="D7" s="315" t="s">
        <v>85</v>
      </c>
      <c r="E7" s="315"/>
      <c r="F7" s="315" t="s">
        <v>159</v>
      </c>
      <c r="G7" s="315" t="s">
        <v>86</v>
      </c>
      <c r="H7" s="315" t="s">
        <v>27</v>
      </c>
      <c r="I7" s="315" t="s">
        <v>17</v>
      </c>
      <c r="J7" s="315" t="s">
        <v>16</v>
      </c>
      <c r="K7" s="315" t="s">
        <v>1</v>
      </c>
      <c r="L7" s="315" t="s">
        <v>248</v>
      </c>
      <c r="M7" s="315" t="s">
        <v>4</v>
      </c>
    </row>
    <row r="8" spans="1:13" ht="15.75" customHeight="1" hidden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</row>
    <row r="9" spans="1:13" ht="12.75">
      <c r="A9" s="269" t="s">
        <v>9</v>
      </c>
      <c r="B9" s="270"/>
      <c r="C9" s="270"/>
      <c r="D9" s="270"/>
      <c r="E9" s="270"/>
      <c r="F9" s="270"/>
      <c r="G9" s="270">
        <v>60000</v>
      </c>
      <c r="H9" s="270"/>
      <c r="I9" s="270"/>
      <c r="J9" s="270"/>
      <c r="K9" s="270"/>
      <c r="L9" s="270"/>
      <c r="M9" s="270"/>
    </row>
    <row r="10" spans="1:13" ht="6.75" customHeight="1" hidden="1">
      <c r="A10" s="271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3"/>
    </row>
    <row r="11" spans="1:13" ht="12.75">
      <c r="A11" s="274" t="s">
        <v>2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3"/>
    </row>
    <row r="12" spans="1:13" ht="12.75">
      <c r="A12" s="275" t="s">
        <v>20</v>
      </c>
      <c r="B12" s="276">
        <f>CALCULOS!F2</f>
        <v>8000</v>
      </c>
      <c r="C12" s="276">
        <f>CALCULOS!F3</f>
        <v>8000</v>
      </c>
      <c r="D12" s="276"/>
      <c r="E12" s="276"/>
      <c r="F12" s="276"/>
      <c r="G12" s="276">
        <f>CALCULOS!F4</f>
        <v>16000</v>
      </c>
      <c r="H12" s="276"/>
      <c r="I12" s="276"/>
      <c r="J12" s="276"/>
      <c r="K12" s="276">
        <f>CALCULOS!F7</f>
        <v>32000</v>
      </c>
      <c r="L12" s="276">
        <f>SUM(B12+C12+D12+G12+K12)</f>
        <v>64000</v>
      </c>
      <c r="M12" s="277">
        <f>L12</f>
        <v>64000</v>
      </c>
    </row>
    <row r="13" spans="1:13" ht="12.75">
      <c r="A13" s="275" t="s">
        <v>30</v>
      </c>
      <c r="B13" s="276"/>
      <c r="C13" s="276"/>
      <c r="D13" s="276"/>
      <c r="E13" s="276"/>
      <c r="F13" s="276"/>
      <c r="G13" s="276">
        <f>CALCULOS!C11</f>
        <v>42000</v>
      </c>
      <c r="H13" s="276"/>
      <c r="I13" s="276"/>
      <c r="J13" s="276"/>
      <c r="K13" s="276">
        <f>CALCULOS!D11</f>
        <v>14000</v>
      </c>
      <c r="L13" s="276">
        <f>K13+G13</f>
        <v>56000</v>
      </c>
      <c r="M13" s="277">
        <f>SUM(B13:I13)+K13</f>
        <v>56000</v>
      </c>
    </row>
    <row r="14" spans="1:13" ht="12.75">
      <c r="A14" s="275" t="s">
        <v>31</v>
      </c>
      <c r="B14" s="276">
        <f>CALCULOS!D15</f>
        <v>20000</v>
      </c>
      <c r="C14" s="276">
        <f>CALCULOS!D16</f>
        <v>20000</v>
      </c>
      <c r="D14" s="276"/>
      <c r="E14" s="276"/>
      <c r="F14" s="276"/>
      <c r="G14" s="276">
        <f>CALCULOS!D17</f>
        <v>40000</v>
      </c>
      <c r="H14" s="276"/>
      <c r="I14" s="276"/>
      <c r="J14" s="276"/>
      <c r="K14" s="276">
        <v>0</v>
      </c>
      <c r="L14" s="276">
        <f>SUM(B14:K14)</f>
        <v>80000</v>
      </c>
      <c r="M14" s="277">
        <f>L14</f>
        <v>80000</v>
      </c>
    </row>
    <row r="15" spans="1:13" ht="12.75">
      <c r="A15" s="278" t="s">
        <v>10</v>
      </c>
      <c r="B15" s="279">
        <f>SUM(B12:B14)</f>
        <v>28000</v>
      </c>
      <c r="C15" s="279">
        <f>SUM(C12:C14)</f>
        <v>28000</v>
      </c>
      <c r="D15" s="279"/>
      <c r="E15" s="279"/>
      <c r="F15" s="279"/>
      <c r="G15" s="279">
        <f>SUM(G12:G14)</f>
        <v>98000</v>
      </c>
      <c r="H15" s="279"/>
      <c r="I15" s="279"/>
      <c r="J15" s="279"/>
      <c r="K15" s="279">
        <f>SUM(K12:K14)</f>
        <v>46000</v>
      </c>
      <c r="L15" s="279">
        <f>SUM(L12:L14)</f>
        <v>200000</v>
      </c>
      <c r="M15" s="279">
        <f>SUM(M12:M14)</f>
        <v>200000</v>
      </c>
    </row>
    <row r="16" spans="1:15" ht="5.25" customHeight="1" hidden="1">
      <c r="A16" s="275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7"/>
      <c r="O16" s="21"/>
    </row>
    <row r="17" spans="1:13" ht="12.75">
      <c r="A17" s="280" t="s">
        <v>96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7"/>
    </row>
    <row r="18" spans="1:15" ht="12.75">
      <c r="A18" s="275" t="s">
        <v>114</v>
      </c>
      <c r="B18" s="276">
        <f>CALCULOS!F22</f>
        <v>180000</v>
      </c>
      <c r="C18" s="276">
        <f>CALCULOS!F23</f>
        <v>180000</v>
      </c>
      <c r="D18" s="276"/>
      <c r="E18" s="276"/>
      <c r="F18" s="276"/>
      <c r="G18" s="276">
        <f>CALCULOS!F24</f>
        <v>180000</v>
      </c>
      <c r="H18" s="276"/>
      <c r="I18" s="276"/>
      <c r="J18" s="276"/>
      <c r="K18" s="276"/>
      <c r="L18" s="276">
        <f>SUM(B18:G18)</f>
        <v>540000</v>
      </c>
      <c r="M18" s="276">
        <f>SUM(B18:G18)</f>
        <v>540000</v>
      </c>
      <c r="O18" s="15"/>
    </row>
    <row r="19" spans="1:15" ht="12.75">
      <c r="A19" s="275" t="s">
        <v>115</v>
      </c>
      <c r="B19" s="276">
        <f>CALCULOS!I22</f>
        <v>36000</v>
      </c>
      <c r="C19" s="276">
        <f>CALCULOS!I23</f>
        <v>36000</v>
      </c>
      <c r="D19" s="276"/>
      <c r="E19" s="276"/>
      <c r="F19" s="276"/>
      <c r="G19" s="276">
        <f>CALCULOS!I24</f>
        <v>36000</v>
      </c>
      <c r="H19" s="276"/>
      <c r="I19" s="276"/>
      <c r="J19" s="276"/>
      <c r="K19" s="276"/>
      <c r="L19" s="276">
        <f>SUM(B19:G19)</f>
        <v>108000</v>
      </c>
      <c r="M19" s="276">
        <f>SUM(B19:G19)</f>
        <v>108000</v>
      </c>
      <c r="O19" s="15"/>
    </row>
    <row r="20" spans="1:15" ht="12.75">
      <c r="A20" s="275" t="s">
        <v>102</v>
      </c>
      <c r="B20" s="276">
        <f>B18*10.67/100</f>
        <v>19206</v>
      </c>
      <c r="C20" s="276">
        <f>C18*10.67/100</f>
        <v>19206</v>
      </c>
      <c r="D20" s="276"/>
      <c r="E20" s="276"/>
      <c r="F20" s="276"/>
      <c r="G20" s="276">
        <f>G18*10.67/100</f>
        <v>19206</v>
      </c>
      <c r="H20" s="276"/>
      <c r="I20" s="276"/>
      <c r="J20" s="276"/>
      <c r="K20" s="276"/>
      <c r="L20" s="276">
        <f>SUM(B20:G20)</f>
        <v>57618</v>
      </c>
      <c r="M20" s="276">
        <f>SUM(B20:G20)</f>
        <v>57618</v>
      </c>
      <c r="O20" s="15"/>
    </row>
    <row r="21" spans="1:15" ht="12.75">
      <c r="A21" s="275" t="s">
        <v>103</v>
      </c>
      <c r="B21" s="276">
        <f>B18*30/100</f>
        <v>54000</v>
      </c>
      <c r="C21" s="276">
        <f>C18*30/100</f>
        <v>54000</v>
      </c>
      <c r="D21" s="276"/>
      <c r="E21" s="276"/>
      <c r="F21" s="276"/>
      <c r="G21" s="276">
        <f>G18*30/100</f>
        <v>54000</v>
      </c>
      <c r="H21" s="276"/>
      <c r="I21" s="276"/>
      <c r="J21" s="276"/>
      <c r="K21" s="276"/>
      <c r="L21" s="276">
        <f>SUM(B21:G21)</f>
        <v>162000</v>
      </c>
      <c r="M21" s="276">
        <f>SUM(B21:G21)</f>
        <v>162000</v>
      </c>
      <c r="O21" s="15"/>
    </row>
    <row r="22" spans="1:15" ht="12.75" hidden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7"/>
      <c r="O22" s="15"/>
    </row>
    <row r="23" spans="1:15" ht="12.75">
      <c r="A23" s="278" t="s">
        <v>10</v>
      </c>
      <c r="B23" s="279">
        <f>+SUM(B18:B22)</f>
        <v>289206</v>
      </c>
      <c r="C23" s="279">
        <f>+SUM(C18:C22)</f>
        <v>289206</v>
      </c>
      <c r="D23" s="279"/>
      <c r="E23" s="279"/>
      <c r="F23" s="279"/>
      <c r="G23" s="279">
        <f>+SUM(G18:G22)</f>
        <v>289206</v>
      </c>
      <c r="H23" s="279">
        <v>15000</v>
      </c>
      <c r="I23" s="279">
        <f>+SUM(I18:I22)</f>
        <v>0</v>
      </c>
      <c r="J23" s="279">
        <f>+SUM(J18:J22)</f>
        <v>0</v>
      </c>
      <c r="K23" s="279">
        <f>+SUM(K18:K22)</f>
        <v>0</v>
      </c>
      <c r="L23" s="279">
        <f>+SUM(L18:L22)</f>
        <v>867618</v>
      </c>
      <c r="M23" s="279">
        <f>+SUM(M18:M22)</f>
        <v>867618</v>
      </c>
      <c r="O23" s="20"/>
    </row>
    <row r="24" spans="1:13" ht="9" customHeight="1" hidden="1">
      <c r="A24" s="275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7"/>
    </row>
    <row r="25" spans="1:13" ht="12.75">
      <c r="A25" s="280" t="s">
        <v>3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7"/>
    </row>
    <row r="26" spans="1:14" ht="12.75">
      <c r="A26" s="275" t="s">
        <v>152</v>
      </c>
      <c r="B26" s="276">
        <f>CALCULOS!F31</f>
        <v>11328.24</v>
      </c>
      <c r="C26" s="276">
        <f>CALCULOS!F32</f>
        <v>11328.24</v>
      </c>
      <c r="D26" s="276"/>
      <c r="E26" s="276"/>
      <c r="F26" s="276"/>
      <c r="G26" s="276">
        <f>CALCULOS!F33</f>
        <v>11328.24</v>
      </c>
      <c r="H26" s="276"/>
      <c r="I26" s="276"/>
      <c r="J26" s="276"/>
      <c r="K26" s="276"/>
      <c r="L26" s="276">
        <f>SUM(B26:I26)</f>
        <v>33984.72</v>
      </c>
      <c r="M26" s="277">
        <f>SUM(B26:J26)</f>
        <v>33984.72</v>
      </c>
      <c r="N26" s="176"/>
    </row>
    <row r="27" spans="1:13" ht="12.75">
      <c r="A27" s="275" t="s">
        <v>40</v>
      </c>
      <c r="B27" s="276">
        <f>CALCULOS!F41</f>
        <v>14460.3</v>
      </c>
      <c r="C27" s="276">
        <f>CALCULOS!F42</f>
        <v>14460.3</v>
      </c>
      <c r="D27" s="276"/>
      <c r="E27" s="276"/>
      <c r="F27" s="276"/>
      <c r="G27" s="276">
        <f>CALCULOS!F43</f>
        <v>14460.3</v>
      </c>
      <c r="H27" s="276"/>
      <c r="I27" s="276">
        <f>CALCULOS!F44</f>
        <v>4820.1</v>
      </c>
      <c r="J27" s="276"/>
      <c r="K27" s="276"/>
      <c r="L27" s="276">
        <f>SUM(B27:I27)</f>
        <v>48200.99999999999</v>
      </c>
      <c r="M27" s="277">
        <f>SUM(B27:J27)</f>
        <v>48200.99999999999</v>
      </c>
    </row>
    <row r="28" spans="1:13" ht="12.75">
      <c r="A28" s="275" t="s">
        <v>41</v>
      </c>
      <c r="B28" s="276">
        <f>20000*90%/3</f>
        <v>6000</v>
      </c>
      <c r="C28" s="276">
        <f>20000*90%/3</f>
        <v>6000</v>
      </c>
      <c r="D28" s="276"/>
      <c r="E28" s="276"/>
      <c r="F28" s="276"/>
      <c r="G28" s="276">
        <f>20000*90%/3</f>
        <v>6000</v>
      </c>
      <c r="H28" s="276"/>
      <c r="I28" s="276">
        <f>20000*10/100</f>
        <v>2000</v>
      </c>
      <c r="J28" s="276"/>
      <c r="K28" s="276"/>
      <c r="L28" s="276">
        <f>SUM(B28:I28)</f>
        <v>20000</v>
      </c>
      <c r="M28" s="277">
        <f>SUM(B28:J28)</f>
        <v>20000</v>
      </c>
    </row>
    <row r="29" spans="1:13" ht="12.75">
      <c r="A29" s="275" t="s">
        <v>21</v>
      </c>
      <c r="B29" s="276">
        <f>CALCULOS!C59</f>
        <v>9625</v>
      </c>
      <c r="C29" s="276">
        <f>CALCULOS!D59</f>
        <v>9625</v>
      </c>
      <c r="D29" s="276"/>
      <c r="E29" s="276"/>
      <c r="F29" s="276"/>
      <c r="G29" s="276">
        <f>CALCULOS!E59</f>
        <v>3375</v>
      </c>
      <c r="H29" s="276"/>
      <c r="I29" s="276">
        <f>CALCULOS!F59</f>
        <v>2375</v>
      </c>
      <c r="J29" s="276"/>
      <c r="K29" s="276"/>
      <c r="L29" s="276">
        <f>SUM(B29:I29)</f>
        <v>25000</v>
      </c>
      <c r="M29" s="277">
        <f>SUM(B29:J29)</f>
        <v>25000</v>
      </c>
    </row>
    <row r="30" spans="1:13" ht="12.75">
      <c r="A30" s="275" t="s">
        <v>45</v>
      </c>
      <c r="B30" s="276">
        <f>CALCULOS!D64</f>
        <v>10000</v>
      </c>
      <c r="C30" s="276">
        <f>CALCULOS!C64</f>
        <v>80000</v>
      </c>
      <c r="D30" s="276"/>
      <c r="E30" s="276"/>
      <c r="F30" s="276"/>
      <c r="G30" s="276">
        <f>CALCULOS!E64</f>
        <v>10000</v>
      </c>
      <c r="H30" s="276"/>
      <c r="I30" s="276"/>
      <c r="J30" s="276"/>
      <c r="K30" s="276"/>
      <c r="L30" s="276">
        <f>SUM(B30+C30+D30)+K30+G30</f>
        <v>100000</v>
      </c>
      <c r="M30" s="277">
        <f>SUM(B30:G30)+K30</f>
        <v>100000</v>
      </c>
    </row>
    <row r="31" spans="1:13" ht="12.75">
      <c r="A31" s="275" t="s">
        <v>47</v>
      </c>
      <c r="B31" s="276">
        <f>100000/3</f>
        <v>33333.333333333336</v>
      </c>
      <c r="C31" s="276">
        <f>100000/3</f>
        <v>33333.333333333336</v>
      </c>
      <c r="D31" s="276"/>
      <c r="E31" s="276"/>
      <c r="F31" s="276"/>
      <c r="G31" s="276">
        <f>100000/3</f>
        <v>33333.333333333336</v>
      </c>
      <c r="H31" s="276"/>
      <c r="I31" s="276"/>
      <c r="J31" s="276"/>
      <c r="K31" s="276"/>
      <c r="L31" s="276">
        <f>SUM(B31:G31)</f>
        <v>100000</v>
      </c>
      <c r="M31" s="277">
        <f>SUM(B31:J31)</f>
        <v>100000</v>
      </c>
    </row>
    <row r="32" spans="1:13" ht="12.75">
      <c r="A32" s="275" t="s">
        <v>156</v>
      </c>
      <c r="B32" s="276">
        <f>CALCULOS!G79</f>
        <v>1000</v>
      </c>
      <c r="C32" s="276">
        <f>CALCULOS!G80</f>
        <v>1333.3333333333335</v>
      </c>
      <c r="D32" s="276"/>
      <c r="E32" s="276"/>
      <c r="F32" s="276"/>
      <c r="G32" s="276">
        <f>CALCULOS!G78</f>
        <v>1666.6666666666665</v>
      </c>
      <c r="H32" s="276"/>
      <c r="I32" s="276"/>
      <c r="J32" s="276"/>
      <c r="K32" s="276"/>
      <c r="L32" s="276">
        <f>B32+C32+G32</f>
        <v>4000</v>
      </c>
      <c r="M32" s="277">
        <f>L32</f>
        <v>4000</v>
      </c>
    </row>
    <row r="33" spans="1:13" ht="12.75">
      <c r="A33" s="275" t="s">
        <v>66</v>
      </c>
      <c r="B33" s="276">
        <f>CALCULOS!G88</f>
        <v>7500</v>
      </c>
      <c r="C33" s="276">
        <f>CALCULOS!G89</f>
        <v>10000.000000000002</v>
      </c>
      <c r="D33" s="276"/>
      <c r="E33" s="276"/>
      <c r="F33" s="276"/>
      <c r="G33" s="276">
        <f>CALCULOS!G87</f>
        <v>12499.999999999998</v>
      </c>
      <c r="H33" s="276"/>
      <c r="I33" s="276"/>
      <c r="J33" s="276"/>
      <c r="K33" s="276">
        <v>-30000</v>
      </c>
      <c r="L33" s="276">
        <v>0</v>
      </c>
      <c r="M33" s="277">
        <f>K33</f>
        <v>-30000</v>
      </c>
    </row>
    <row r="34" spans="1:13" ht="12.75">
      <c r="A34" s="275" t="s">
        <v>6</v>
      </c>
      <c r="B34" s="276">
        <f>Depreciaciones!F15</f>
        <v>65353.5</v>
      </c>
      <c r="C34" s="276">
        <f>Depreciaciones!G15</f>
        <v>61416.666666666664</v>
      </c>
      <c r="D34" s="276"/>
      <c r="E34" s="276"/>
      <c r="F34" s="276"/>
      <c r="G34" s="276">
        <f>Depreciaciones!I15</f>
        <v>10312.5</v>
      </c>
      <c r="H34" s="276"/>
      <c r="I34" s="276">
        <f>Depreciaciones!J15</f>
        <v>9500</v>
      </c>
      <c r="J34" s="276"/>
      <c r="K34" s="276"/>
      <c r="L34" s="276"/>
      <c r="M34" s="277">
        <f>SUM(I34+G34+D34+C34+B34)</f>
        <v>146582.66666666666</v>
      </c>
    </row>
    <row r="35" spans="1:13" ht="12.75">
      <c r="A35" s="271" t="s">
        <v>176</v>
      </c>
      <c r="B35" s="272"/>
      <c r="C35" s="272"/>
      <c r="D35" s="272"/>
      <c r="E35" s="272"/>
      <c r="F35" s="272"/>
      <c r="G35" s="272">
        <v>60000</v>
      </c>
      <c r="H35" s="272"/>
      <c r="I35" s="272"/>
      <c r="J35" s="272"/>
      <c r="K35" s="272"/>
      <c r="L35" s="272">
        <f>G35</f>
        <v>60000</v>
      </c>
      <c r="M35" s="273">
        <f>SUM(B35:J35)</f>
        <v>60000</v>
      </c>
    </row>
    <row r="36" spans="1:13" ht="13.5" thickBot="1">
      <c r="A36" s="281" t="s">
        <v>10</v>
      </c>
      <c r="B36" s="282">
        <f>+SUM(B27:B35)+B26</f>
        <v>158600.37333333332</v>
      </c>
      <c r="C36" s="282">
        <f>+SUM(C27:C35)+C26</f>
        <v>227496.87333333332</v>
      </c>
      <c r="D36" s="282"/>
      <c r="E36" s="282"/>
      <c r="F36" s="282"/>
      <c r="G36" s="282">
        <f>+SUM(G27:G35)+G26</f>
        <v>162976.03999999998</v>
      </c>
      <c r="H36" s="282">
        <f>+SUM(H27:H35)+H25</f>
        <v>0</v>
      </c>
      <c r="I36" s="282">
        <f>+SUM(I27:I35)</f>
        <v>18695.1</v>
      </c>
      <c r="J36" s="282">
        <f>+SUM(J27:J35)</f>
        <v>0</v>
      </c>
      <c r="K36" s="282">
        <f>K33</f>
        <v>-30000</v>
      </c>
      <c r="L36" s="282">
        <f>+SUM(L27:L35)+L26</f>
        <v>391185.72</v>
      </c>
      <c r="M36" s="282">
        <f>+SUM(M27:M35)+M26</f>
        <v>507768.3866666666</v>
      </c>
    </row>
    <row r="37" spans="1:13" ht="13.5" hidden="1" thickBot="1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90"/>
    </row>
    <row r="38" spans="1:13" s="14" customFormat="1" ht="13.5" thickBot="1">
      <c r="A38" s="294" t="s">
        <v>188</v>
      </c>
      <c r="B38" s="295">
        <f>SUM(B15+B23+B36)+(B37)</f>
        <v>475806.3733333333</v>
      </c>
      <c r="C38" s="295">
        <f>+C9+C15+C23+C36</f>
        <v>544702.8733333333</v>
      </c>
      <c r="D38" s="295">
        <f>+D9+D15+D23+D36</f>
        <v>0</v>
      </c>
      <c r="E38" s="295">
        <f>SUM(E36+E23+E15)</f>
        <v>0</v>
      </c>
      <c r="F38" s="295">
        <f>C38*10/100</f>
        <v>54470.28733333333</v>
      </c>
      <c r="G38" s="295">
        <f>+G9+G15+G23+G36</f>
        <v>610182.04</v>
      </c>
      <c r="H38" s="295">
        <f>+H9+H15+H23+H36</f>
        <v>15000</v>
      </c>
      <c r="I38" s="295">
        <f>+I9+I15+I23+I36</f>
        <v>18695.1</v>
      </c>
      <c r="J38" s="295">
        <f>+J9+J15+J23+J36</f>
        <v>0</v>
      </c>
      <c r="K38" s="295">
        <f>K15+K36</f>
        <v>16000</v>
      </c>
      <c r="L38" s="295">
        <f>+L9+L15+L23+L36</f>
        <v>1458803.72</v>
      </c>
      <c r="M38" s="295">
        <f>+M9+M15+M23+M36</f>
        <v>1575386.3866666667</v>
      </c>
    </row>
    <row r="39" spans="1:13" ht="12.75">
      <c r="A39" s="291" t="s">
        <v>5</v>
      </c>
      <c r="B39" s="292">
        <f>G60</f>
        <v>60000</v>
      </c>
      <c r="C39" s="292">
        <f>G61</f>
        <v>80000</v>
      </c>
      <c r="D39" s="292"/>
      <c r="E39" s="292"/>
      <c r="F39" s="292"/>
      <c r="G39" s="292">
        <f>G59</f>
        <v>100000</v>
      </c>
      <c r="H39" s="292" t="e">
        <f>B46</f>
        <v>#REF!</v>
      </c>
      <c r="I39" s="292"/>
      <c r="J39" s="292"/>
      <c r="K39" s="292"/>
      <c r="L39" s="292"/>
      <c r="M39" s="293">
        <f>B39+C39+G39</f>
        <v>240000</v>
      </c>
    </row>
    <row r="40" spans="1:13" ht="13.5" thickBot="1">
      <c r="A40" s="283" t="s">
        <v>76</v>
      </c>
      <c r="B40" s="284">
        <f>+B38/B39</f>
        <v>7.930106222222221</v>
      </c>
      <c r="C40" s="284">
        <f>+C38/C39</f>
        <v>6.808785916666666</v>
      </c>
      <c r="D40" s="284"/>
      <c r="E40" s="284"/>
      <c r="F40" s="284"/>
      <c r="G40" s="284">
        <f>G38/G39</f>
        <v>6.1018204</v>
      </c>
      <c r="H40" s="285" t="e">
        <f>+H38/H39</f>
        <v>#REF!</v>
      </c>
      <c r="I40" s="285"/>
      <c r="J40" s="286"/>
      <c r="K40" s="286"/>
      <c r="L40" s="286"/>
      <c r="M40" s="286"/>
    </row>
    <row r="41" spans="2:13" ht="10.5" customHeight="1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75" hidden="1">
      <c r="A42" s="17" t="s">
        <v>18</v>
      </c>
      <c r="B42" s="18">
        <v>0.8</v>
      </c>
      <c r="C42" s="18" t="s">
        <v>19</v>
      </c>
      <c r="D42" s="18" t="s">
        <v>4</v>
      </c>
      <c r="E42" s="18"/>
      <c r="F42" s="18"/>
      <c r="G42" s="13"/>
      <c r="H42" s="13"/>
      <c r="I42" s="13"/>
      <c r="J42" s="13"/>
      <c r="K42" s="13"/>
      <c r="L42" s="13"/>
      <c r="M42" s="13"/>
    </row>
    <row r="43" spans="1:17" ht="12.75" hidden="1">
      <c r="A43" s="12" t="s">
        <v>48</v>
      </c>
      <c r="B43" s="19" t="e">
        <f>#REF!</f>
        <v>#REF!</v>
      </c>
      <c r="C43" s="13">
        <f>B40*2</f>
        <v>15.860212444444443</v>
      </c>
      <c r="D43" s="13" t="e">
        <f>B43*C43</f>
        <v>#REF!</v>
      </c>
      <c r="E43" s="13"/>
      <c r="F43" s="13"/>
      <c r="H43" s="13"/>
      <c r="I43" s="13"/>
      <c r="J43" s="13"/>
      <c r="K43" s="13"/>
      <c r="L43" s="13"/>
      <c r="M43" s="13"/>
      <c r="P43" s="15"/>
      <c r="Q43" s="15"/>
    </row>
    <row r="44" spans="1:17" ht="12.75" hidden="1">
      <c r="A44" s="12" t="s">
        <v>49</v>
      </c>
      <c r="B44" s="19" t="e">
        <f>#REF!</f>
        <v>#REF!</v>
      </c>
      <c r="C44" s="13">
        <f>C40*2</f>
        <v>13.617571833333333</v>
      </c>
      <c r="D44" s="13" t="e">
        <f>B44*C44</f>
        <v>#REF!</v>
      </c>
      <c r="E44" s="13"/>
      <c r="F44" s="13"/>
      <c r="H44" s="13"/>
      <c r="I44" s="13"/>
      <c r="J44" s="13"/>
      <c r="K44" s="13"/>
      <c r="L44" s="13"/>
      <c r="M44" s="13"/>
      <c r="P44" s="15"/>
      <c r="Q44" s="15"/>
    </row>
    <row r="45" spans="1:17" ht="12.75" hidden="1">
      <c r="A45" s="12" t="s">
        <v>50</v>
      </c>
      <c r="B45" s="19" t="e">
        <f>#REF!</f>
        <v>#REF!</v>
      </c>
      <c r="C45" s="13">
        <f>G40</f>
        <v>6.1018204</v>
      </c>
      <c r="D45" s="13" t="e">
        <f>B45*C45</f>
        <v>#REF!</v>
      </c>
      <c r="E45" s="13"/>
      <c r="F45" s="13"/>
      <c r="H45" s="13"/>
      <c r="I45" s="13"/>
      <c r="J45" s="13"/>
      <c r="K45" s="13"/>
      <c r="L45" s="13"/>
      <c r="M45" s="13"/>
      <c r="P45" s="15"/>
      <c r="Q45" s="15"/>
    </row>
    <row r="46" spans="1:17" ht="12.75" hidden="1">
      <c r="A46" s="12" t="s">
        <v>51</v>
      </c>
      <c r="B46" s="19" t="e">
        <f>#REF!</f>
        <v>#REF!</v>
      </c>
      <c r="C46" s="13" t="e">
        <f>H40</f>
        <v>#REF!</v>
      </c>
      <c r="D46" s="13" t="e">
        <f>B46*C46</f>
        <v>#REF!</v>
      </c>
      <c r="E46" s="13"/>
      <c r="F46" s="13"/>
      <c r="G46" s="13" t="e">
        <f>SUM(D43:D46)</f>
        <v>#REF!</v>
      </c>
      <c r="P46" s="15"/>
      <c r="Q46" s="15"/>
    </row>
    <row r="47" spans="2:17" ht="13.5" hidden="1" thickBot="1">
      <c r="B47" s="19"/>
      <c r="D47" s="13"/>
      <c r="E47" s="13"/>
      <c r="F47" s="13"/>
      <c r="P47" s="15"/>
      <c r="Q47" s="15"/>
    </row>
    <row r="48" spans="1:16" ht="25.5">
      <c r="A48" s="314" t="s">
        <v>33</v>
      </c>
      <c r="B48" s="306" t="s">
        <v>141</v>
      </c>
      <c r="C48" s="307" t="s">
        <v>78</v>
      </c>
      <c r="D48" s="308" t="s">
        <v>4</v>
      </c>
      <c r="E48" s="309">
        <v>2009</v>
      </c>
      <c r="F48" s="310" t="s">
        <v>160</v>
      </c>
      <c r="G48" s="311" t="s">
        <v>162</v>
      </c>
      <c r="H48" s="307"/>
      <c r="I48" s="311" t="s">
        <v>161</v>
      </c>
      <c r="J48" s="312" t="s">
        <v>206</v>
      </c>
      <c r="K48" s="177"/>
      <c r="O48" s="13"/>
      <c r="P48" s="15"/>
    </row>
    <row r="49" spans="1:16" ht="17.25" customHeight="1">
      <c r="A49" s="313" t="s">
        <v>89</v>
      </c>
      <c r="B49" s="174">
        <f>G60</f>
        <v>60000</v>
      </c>
      <c r="C49" s="150">
        <f>B38</f>
        <v>475806.3733333333</v>
      </c>
      <c r="D49" s="150">
        <f>B49*C49</f>
        <v>28548382399.999996</v>
      </c>
      <c r="E49" s="150">
        <v>110000</v>
      </c>
      <c r="F49" s="178"/>
      <c r="G49" s="305">
        <f>C49+F49</f>
        <v>475806.3733333333</v>
      </c>
      <c r="H49" s="179">
        <f>G49*2</f>
        <v>951612.7466666666</v>
      </c>
      <c r="I49" s="305">
        <f>G49*2</f>
        <v>951612.7466666666</v>
      </c>
      <c r="J49" s="180">
        <f>I49-G49</f>
        <v>475806.3733333333</v>
      </c>
      <c r="K49" s="139"/>
      <c r="O49" s="13"/>
      <c r="P49" s="15"/>
    </row>
    <row r="50" spans="1:16" ht="13.5" customHeight="1" thickBot="1">
      <c r="A50" s="313" t="s">
        <v>86</v>
      </c>
      <c r="B50" s="175">
        <f>G59</f>
        <v>100000</v>
      </c>
      <c r="C50" s="181">
        <f>G38</f>
        <v>610182.04</v>
      </c>
      <c r="D50" s="181">
        <f>B50*C50</f>
        <v>61018204000</v>
      </c>
      <c r="E50" s="181">
        <v>0</v>
      </c>
      <c r="F50" s="182"/>
      <c r="G50" s="183">
        <f>C50+F50</f>
        <v>610182.04</v>
      </c>
      <c r="H50" s="184">
        <v>980000</v>
      </c>
      <c r="I50" s="183">
        <v>520000</v>
      </c>
      <c r="J50" s="185">
        <f>I50-G50</f>
        <v>-90182.04000000004</v>
      </c>
      <c r="K50" s="197"/>
      <c r="O50" s="13"/>
      <c r="P50" s="15"/>
    </row>
    <row r="51" ht="9.75" customHeight="1">
      <c r="O51" s="13"/>
    </row>
    <row r="52" ht="12.75" hidden="1">
      <c r="O52" s="13"/>
    </row>
    <row r="53" ht="12.75" hidden="1"/>
    <row r="54" ht="12.75">
      <c r="A54" s="12" t="s">
        <v>87</v>
      </c>
    </row>
    <row r="55" ht="12.75">
      <c r="A55" s="12" t="s">
        <v>88</v>
      </c>
    </row>
    <row r="56" ht="7.5" customHeight="1"/>
    <row r="57" spans="1:7" ht="12.75">
      <c r="A57" s="299" t="s">
        <v>94</v>
      </c>
      <c r="B57" s="300" t="s">
        <v>139</v>
      </c>
      <c r="C57" s="301" t="s">
        <v>52</v>
      </c>
      <c r="D57" s="302" t="s">
        <v>4</v>
      </c>
      <c r="E57" s="302" t="s">
        <v>33</v>
      </c>
      <c r="F57" s="301"/>
      <c r="G57" s="300" t="s">
        <v>141</v>
      </c>
    </row>
    <row r="58" spans="1:7" ht="12.75">
      <c r="A58" s="299"/>
      <c r="B58" s="300"/>
      <c r="C58" s="303" t="s">
        <v>140</v>
      </c>
      <c r="D58" s="304"/>
      <c r="E58" s="304"/>
      <c r="F58" s="303"/>
      <c r="G58" s="300"/>
    </row>
    <row r="59" spans="1:7" ht="12.75">
      <c r="A59" s="296" t="s">
        <v>86</v>
      </c>
      <c r="B59" s="296">
        <v>100</v>
      </c>
      <c r="C59" s="296">
        <v>500</v>
      </c>
      <c r="D59" s="150">
        <f>B59*C59</f>
        <v>50000</v>
      </c>
      <c r="E59" s="296">
        <v>2</v>
      </c>
      <c r="F59" s="296"/>
      <c r="G59" s="150">
        <f>D59*E59</f>
        <v>100000</v>
      </c>
    </row>
    <row r="60" spans="1:7" ht="12.75">
      <c r="A60" s="296" t="s">
        <v>89</v>
      </c>
      <c r="B60" s="296">
        <v>200</v>
      </c>
      <c r="C60" s="296">
        <v>300</v>
      </c>
      <c r="D60" s="150">
        <f>B60*C60</f>
        <v>60000</v>
      </c>
      <c r="E60" s="296">
        <v>1</v>
      </c>
      <c r="F60" s="296"/>
      <c r="G60" s="150">
        <f>D60*E60</f>
        <v>60000</v>
      </c>
    </row>
    <row r="61" spans="1:7" ht="12.75">
      <c r="A61" s="296" t="s">
        <v>85</v>
      </c>
      <c r="B61" s="296">
        <v>200</v>
      </c>
      <c r="C61" s="296">
        <v>400</v>
      </c>
      <c r="D61" s="150">
        <f>B61*C61</f>
        <v>80000</v>
      </c>
      <c r="E61" s="296">
        <v>1</v>
      </c>
      <c r="F61" s="296"/>
      <c r="G61" s="150">
        <f>D61*E61</f>
        <v>80000</v>
      </c>
    </row>
    <row r="62" spans="1:7" ht="12.75">
      <c r="A62" s="297" t="s">
        <v>4</v>
      </c>
      <c r="B62" s="296"/>
      <c r="C62" s="296"/>
      <c r="D62" s="296"/>
      <c r="E62" s="296"/>
      <c r="F62" s="296"/>
      <c r="G62" s="298">
        <f>SUM(G59:G61)</f>
        <v>240000</v>
      </c>
    </row>
    <row r="63" ht="12.75" hidden="1"/>
    <row r="64" ht="12.75" hidden="1"/>
    <row r="65" ht="12.75" hidden="1"/>
    <row r="67" spans="1:3" ht="15">
      <c r="A67" s="346" t="s">
        <v>85</v>
      </c>
      <c r="B67" s="347" t="s">
        <v>202</v>
      </c>
      <c r="C67" s="347" t="s">
        <v>203</v>
      </c>
    </row>
    <row r="68" spans="1:3" ht="15">
      <c r="A68" s="342">
        <v>2006</v>
      </c>
      <c r="B68" s="343">
        <v>100</v>
      </c>
      <c r="C68" s="343">
        <v>10500</v>
      </c>
    </row>
    <row r="69" spans="1:10" ht="15">
      <c r="A69" s="342">
        <v>2007</v>
      </c>
      <c r="B69" s="343">
        <v>80000</v>
      </c>
      <c r="C69" s="343">
        <v>544703</v>
      </c>
      <c r="G69" s="296" t="s">
        <v>234</v>
      </c>
      <c r="H69" s="296"/>
      <c r="I69" s="296"/>
      <c r="J69" s="348">
        <f>C72</f>
        <v>499682.7</v>
      </c>
    </row>
    <row r="70" spans="1:10" ht="15">
      <c r="A70" s="342" t="s">
        <v>204</v>
      </c>
      <c r="B70" s="343">
        <v>80100</v>
      </c>
      <c r="C70" s="343">
        <f>C68+C69</f>
        <v>555203</v>
      </c>
      <c r="G70" s="296" t="s">
        <v>161</v>
      </c>
      <c r="H70" s="351"/>
      <c r="I70" s="352"/>
      <c r="J70" s="349">
        <v>990000</v>
      </c>
    </row>
    <row r="71" spans="1:10" ht="15">
      <c r="A71" s="341" t="s">
        <v>201</v>
      </c>
      <c r="B71" s="344">
        <v>0.9</v>
      </c>
      <c r="C71" s="344">
        <f>B71</f>
        <v>0.9</v>
      </c>
      <c r="G71" s="296" t="s">
        <v>163</v>
      </c>
      <c r="H71" s="351"/>
      <c r="I71" s="352"/>
      <c r="J71" s="350">
        <f>J70-J69</f>
        <v>490317.3</v>
      </c>
    </row>
    <row r="72" spans="1:3" ht="15">
      <c r="A72" s="341" t="s">
        <v>205</v>
      </c>
      <c r="B72" s="341">
        <v>72090</v>
      </c>
      <c r="C72" s="345">
        <f>C70*C71</f>
        <v>499682.7</v>
      </c>
    </row>
    <row r="73" spans="1:3" ht="15">
      <c r="A73" s="342" t="s">
        <v>233</v>
      </c>
      <c r="B73" s="343"/>
      <c r="C73" s="345">
        <f>C70-C72</f>
        <v>55520.29999999999</v>
      </c>
    </row>
    <row r="74" spans="1:6" ht="15">
      <c r="A74" s="193"/>
      <c r="B74" s="194"/>
      <c r="C74" s="195"/>
      <c r="F74" s="196"/>
    </row>
    <row r="75" ht="12.75" hidden="1">
      <c r="A75" s="12" t="s">
        <v>234</v>
      </c>
    </row>
    <row r="76" ht="12.75" hidden="1">
      <c r="A76" s="12" t="s">
        <v>161</v>
      </c>
    </row>
    <row r="77" ht="12.75" hidden="1">
      <c r="A77" s="12" t="s">
        <v>163</v>
      </c>
    </row>
    <row r="78" ht="12.75" hidden="1"/>
  </sheetData>
  <sheetProtection/>
  <mergeCells count="9">
    <mergeCell ref="A1:M2"/>
    <mergeCell ref="G57:G58"/>
    <mergeCell ref="B57:B58"/>
    <mergeCell ref="D57:D58"/>
    <mergeCell ref="E57:E58"/>
    <mergeCell ref="A57:A58"/>
    <mergeCell ref="B5:C6"/>
    <mergeCell ref="F5:F6"/>
    <mergeCell ref="A3:M3"/>
  </mergeCells>
  <hyperlinks>
    <hyperlink ref="A34" location="Depreciaciones!A1" display="DEPRECIACIONES Y AMORT."/>
  </hyperlink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90"/>
  <sheetViews>
    <sheetView tabSelected="1" zoomScalePageLayoutView="0" workbookViewId="0" topLeftCell="A1">
      <selection activeCell="H82" sqref="H82"/>
    </sheetView>
  </sheetViews>
  <sheetFormatPr defaultColWidth="11.421875" defaultRowHeight="15"/>
  <cols>
    <col min="1" max="1" width="33.28125" style="1" customWidth="1"/>
    <col min="2" max="2" width="14.7109375" style="1" customWidth="1"/>
    <col min="3" max="3" width="15.7109375" style="1" customWidth="1"/>
    <col min="4" max="4" width="16.421875" style="1" customWidth="1"/>
    <col min="5" max="5" width="12.140625" style="1" customWidth="1"/>
    <col min="6" max="6" width="13.421875" style="1" customWidth="1"/>
    <col min="7" max="12" width="14.5742187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spans="1:6" ht="26.25" thickBot="1">
      <c r="A1" s="355" t="s">
        <v>32</v>
      </c>
      <c r="B1" s="62" t="s">
        <v>34</v>
      </c>
      <c r="C1" s="63" t="s">
        <v>33</v>
      </c>
      <c r="D1" s="62" t="s">
        <v>72</v>
      </c>
      <c r="E1" s="63" t="s">
        <v>35</v>
      </c>
      <c r="F1" s="64" t="s">
        <v>4</v>
      </c>
    </row>
    <row r="2" spans="1:6" ht="12.75">
      <c r="A2" s="58" t="s">
        <v>89</v>
      </c>
      <c r="B2" s="59">
        <v>100</v>
      </c>
      <c r="C2" s="59">
        <v>1</v>
      </c>
      <c r="D2" s="59">
        <f>B2*C2</f>
        <v>100</v>
      </c>
      <c r="E2" s="60">
        <v>80</v>
      </c>
      <c r="F2" s="61">
        <f>E2*D2</f>
        <v>8000</v>
      </c>
    </row>
    <row r="3" spans="1:6" ht="12.75">
      <c r="A3" s="54" t="s">
        <v>90</v>
      </c>
      <c r="B3" s="32">
        <v>50</v>
      </c>
      <c r="C3" s="32">
        <v>1</v>
      </c>
      <c r="D3" s="32">
        <v>100</v>
      </c>
      <c r="E3" s="33">
        <v>80</v>
      </c>
      <c r="F3" s="55">
        <f>E3*D3</f>
        <v>8000</v>
      </c>
    </row>
    <row r="4" spans="1:6" ht="12.75">
      <c r="A4" s="54" t="s">
        <v>86</v>
      </c>
      <c r="B4" s="32">
        <v>100</v>
      </c>
      <c r="C4" s="32">
        <v>2</v>
      </c>
      <c r="D4" s="32">
        <f>C4*B4</f>
        <v>200</v>
      </c>
      <c r="E4" s="33">
        <v>80</v>
      </c>
      <c r="F4" s="55">
        <f>E4*D4</f>
        <v>16000</v>
      </c>
    </row>
    <row r="5" spans="1:6" ht="12.75">
      <c r="A5" s="54" t="s">
        <v>37</v>
      </c>
      <c r="B5" s="32"/>
      <c r="C5" s="32"/>
      <c r="D5" s="32">
        <f>SUM(D2:D4)</f>
        <v>400</v>
      </c>
      <c r="E5" s="33">
        <v>80</v>
      </c>
      <c r="F5" s="55">
        <f>D5*E5</f>
        <v>32000</v>
      </c>
    </row>
    <row r="6" spans="1:6" ht="12.75">
      <c r="A6" s="54" t="s">
        <v>36</v>
      </c>
      <c r="B6" s="32"/>
      <c r="C6" s="32"/>
      <c r="D6" s="32">
        <v>800</v>
      </c>
      <c r="E6" s="33">
        <v>80</v>
      </c>
      <c r="F6" s="55">
        <f>E6*D6</f>
        <v>64000</v>
      </c>
    </row>
    <row r="7" spans="1:6" ht="13.5" thickBot="1">
      <c r="A7" s="112" t="s">
        <v>1</v>
      </c>
      <c r="B7" s="56"/>
      <c r="C7" s="56"/>
      <c r="D7" s="56">
        <f>D6-D5</f>
        <v>400</v>
      </c>
      <c r="E7" s="57">
        <v>80</v>
      </c>
      <c r="F7" s="113">
        <f>D7*E7</f>
        <v>32000</v>
      </c>
    </row>
    <row r="8" ht="13.5" thickBot="1"/>
    <row r="9" spans="1:6" ht="26.25" thickBot="1">
      <c r="A9" s="355" t="s">
        <v>91</v>
      </c>
      <c r="B9" s="62" t="s">
        <v>92</v>
      </c>
      <c r="C9" s="62" t="s">
        <v>37</v>
      </c>
      <c r="D9" s="64" t="s">
        <v>1</v>
      </c>
      <c r="E9" s="114"/>
      <c r="F9" s="114"/>
    </row>
    <row r="10" spans="1:6" ht="12.75">
      <c r="A10" s="356" t="s">
        <v>84</v>
      </c>
      <c r="B10" s="100"/>
      <c r="C10" s="100"/>
      <c r="D10" s="101"/>
      <c r="E10" s="114"/>
      <c r="F10" s="114"/>
    </row>
    <row r="11" spans="1:6" ht="13.5" thickBot="1">
      <c r="A11" s="316">
        <v>56000</v>
      </c>
      <c r="B11" s="116">
        <v>0.75</v>
      </c>
      <c r="C11" s="57">
        <f>A11*B11</f>
        <v>42000</v>
      </c>
      <c r="D11" s="92">
        <f>A11-C11</f>
        <v>14000</v>
      </c>
      <c r="E11" s="115"/>
      <c r="F11" s="115"/>
    </row>
    <row r="12" ht="13.5" thickBot="1"/>
    <row r="13" spans="1:4" ht="15" customHeight="1">
      <c r="A13" s="357" t="s">
        <v>38</v>
      </c>
      <c r="B13" s="34"/>
      <c r="C13" s="34" t="s">
        <v>93</v>
      </c>
      <c r="D13" s="104"/>
    </row>
    <row r="14" spans="1:4" ht="13.5" thickBot="1">
      <c r="A14" s="358"/>
      <c r="B14" s="102">
        <v>80000</v>
      </c>
      <c r="C14" s="35" t="s">
        <v>94</v>
      </c>
      <c r="D14" s="36"/>
    </row>
    <row r="15" spans="1:4" ht="12.75">
      <c r="A15" s="58" t="s">
        <v>89</v>
      </c>
      <c r="B15" s="41" t="s">
        <v>95</v>
      </c>
      <c r="C15" s="117">
        <v>0.25</v>
      </c>
      <c r="D15" s="48">
        <f>B14*C15</f>
        <v>20000</v>
      </c>
    </row>
    <row r="16" spans="1:4" ht="12.75">
      <c r="A16" s="54" t="s">
        <v>90</v>
      </c>
      <c r="B16" s="41" t="s">
        <v>95</v>
      </c>
      <c r="C16" s="118">
        <v>0.25</v>
      </c>
      <c r="D16" s="49">
        <f>B14*C16</f>
        <v>20000</v>
      </c>
    </row>
    <row r="17" spans="1:6" ht="13.5" thickBot="1">
      <c r="A17" s="54" t="s">
        <v>86</v>
      </c>
      <c r="B17" s="41" t="s">
        <v>23</v>
      </c>
      <c r="C17" s="118">
        <v>0.5</v>
      </c>
      <c r="D17" s="49">
        <f>B14*C17</f>
        <v>40000</v>
      </c>
      <c r="E17" s="23"/>
      <c r="F17" s="24"/>
    </row>
    <row r="18" spans="1:4" ht="13.5" thickBot="1">
      <c r="A18" s="30" t="s">
        <v>39</v>
      </c>
      <c r="B18" s="103"/>
      <c r="C18" s="46"/>
      <c r="D18" s="53">
        <f>D15+D16+D17</f>
        <v>80000</v>
      </c>
    </row>
    <row r="19" ht="13.5" thickBot="1"/>
    <row r="20" spans="1:9" ht="15" customHeight="1">
      <c r="A20" s="359" t="s">
        <v>97</v>
      </c>
      <c r="B20" s="242" t="s">
        <v>98</v>
      </c>
      <c r="C20" s="238" t="s">
        <v>99</v>
      </c>
      <c r="D20" s="127" t="s">
        <v>4</v>
      </c>
      <c r="E20" s="128" t="s">
        <v>4</v>
      </c>
      <c r="F20" s="371" t="s">
        <v>4</v>
      </c>
      <c r="G20" s="238" t="s">
        <v>100</v>
      </c>
      <c r="H20" s="238" t="s">
        <v>112</v>
      </c>
      <c r="I20" s="374" t="s">
        <v>113</v>
      </c>
    </row>
    <row r="21" spans="1:9" ht="15.75" customHeight="1" thickBot="1">
      <c r="A21" s="360"/>
      <c r="B21" s="243"/>
      <c r="C21" s="239"/>
      <c r="D21" s="126" t="s">
        <v>109</v>
      </c>
      <c r="E21" s="108" t="s">
        <v>110</v>
      </c>
      <c r="F21" s="372" t="s">
        <v>111</v>
      </c>
      <c r="G21" s="239"/>
      <c r="H21" s="239"/>
      <c r="I21" s="375"/>
    </row>
    <row r="22" spans="1:9" ht="12.75">
      <c r="A22" s="58" t="s">
        <v>89</v>
      </c>
      <c r="B22" s="59">
        <v>10</v>
      </c>
      <c r="C22" s="124">
        <v>1500</v>
      </c>
      <c r="D22" s="133">
        <v>12</v>
      </c>
      <c r="E22" s="125">
        <f>C22*D22</f>
        <v>18000</v>
      </c>
      <c r="F22" s="373">
        <f>E22*10</f>
        <v>180000</v>
      </c>
      <c r="G22" s="124">
        <v>300</v>
      </c>
      <c r="H22" s="124">
        <f>G22*12</f>
        <v>3600</v>
      </c>
      <c r="I22" s="376">
        <f>H22*10</f>
        <v>36000</v>
      </c>
    </row>
    <row r="23" spans="1:9" ht="12.75">
      <c r="A23" s="54" t="s">
        <v>90</v>
      </c>
      <c r="B23" s="32">
        <v>10</v>
      </c>
      <c r="C23" s="120">
        <v>1500</v>
      </c>
      <c r="D23" s="133">
        <v>12</v>
      </c>
      <c r="E23" s="121">
        <f>D23*C23</f>
        <v>18000</v>
      </c>
      <c r="F23" s="373">
        <f>E23*10</f>
        <v>180000</v>
      </c>
      <c r="G23" s="120">
        <v>300</v>
      </c>
      <c r="H23" s="120">
        <f>G23*12</f>
        <v>3600</v>
      </c>
      <c r="I23" s="376">
        <f>H23*10</f>
        <v>36000</v>
      </c>
    </row>
    <row r="24" spans="1:9" ht="13.5" thickBot="1">
      <c r="A24" s="112" t="s">
        <v>86</v>
      </c>
      <c r="B24" s="56">
        <v>10</v>
      </c>
      <c r="C24" s="122">
        <v>1500</v>
      </c>
      <c r="D24" s="133">
        <v>12</v>
      </c>
      <c r="E24" s="123">
        <f>D24*C24</f>
        <v>18000</v>
      </c>
      <c r="F24" s="373">
        <f>E24*10</f>
        <v>180000</v>
      </c>
      <c r="G24" s="122">
        <v>300</v>
      </c>
      <c r="H24" s="122">
        <f>G24*12</f>
        <v>3600</v>
      </c>
      <c r="I24" s="376">
        <f>H24*10</f>
        <v>36000</v>
      </c>
    </row>
    <row r="25" spans="3:4" ht="13.5" thickBot="1">
      <c r="C25" s="211"/>
      <c r="D25" s="211"/>
    </row>
    <row r="26" spans="1:6" ht="15" customHeight="1">
      <c r="A26" s="359" t="s">
        <v>104</v>
      </c>
      <c r="B26" s="240" t="s">
        <v>116</v>
      </c>
      <c r="C26" s="127" t="s">
        <v>117</v>
      </c>
      <c r="D26" s="238" t="s">
        <v>100</v>
      </c>
      <c r="E26" s="238" t="s">
        <v>112</v>
      </c>
      <c r="F26" s="374" t="s">
        <v>118</v>
      </c>
    </row>
    <row r="27" spans="1:6" ht="15.75" customHeight="1" thickBot="1">
      <c r="A27" s="360"/>
      <c r="B27" s="239"/>
      <c r="C27" s="126" t="s">
        <v>101</v>
      </c>
      <c r="D27" s="239"/>
      <c r="E27" s="239"/>
      <c r="F27" s="375"/>
    </row>
    <row r="28" spans="1:6" ht="13.5" thickBot="1">
      <c r="A28" s="381" t="s">
        <v>105</v>
      </c>
      <c r="B28" s="134">
        <v>1800</v>
      </c>
      <c r="C28" s="130">
        <f>B28*12</f>
        <v>21600</v>
      </c>
      <c r="D28" s="130">
        <v>300</v>
      </c>
      <c r="E28" s="130">
        <f>D28*12</f>
        <v>3600</v>
      </c>
      <c r="F28" s="131">
        <f>C28+E28</f>
        <v>25200</v>
      </c>
    </row>
    <row r="29" spans="1:6" ht="13.5" thickBot="1">
      <c r="A29" s="111" t="s">
        <v>106</v>
      </c>
      <c r="B29" s="241" t="s">
        <v>107</v>
      </c>
      <c r="C29" s="214"/>
      <c r="D29" s="214"/>
      <c r="E29" s="214"/>
      <c r="F29" s="215"/>
    </row>
    <row r="30" spans="1:6" ht="12.75">
      <c r="A30" s="146"/>
      <c r="B30" s="146" t="s">
        <v>147</v>
      </c>
      <c r="C30" s="148" t="s">
        <v>148</v>
      </c>
      <c r="D30" s="148" t="s">
        <v>149</v>
      </c>
      <c r="E30" s="148" t="s">
        <v>150</v>
      </c>
      <c r="F30" s="147" t="s">
        <v>151</v>
      </c>
    </row>
    <row r="31" spans="1:6" ht="12.75">
      <c r="A31" s="54" t="s">
        <v>89</v>
      </c>
      <c r="B31" s="151">
        <f>C28/3</f>
        <v>7200</v>
      </c>
      <c r="C31" s="152">
        <f>B31*10.67/100</f>
        <v>768.24</v>
      </c>
      <c r="D31" s="152">
        <f>B31*30/100</f>
        <v>2160</v>
      </c>
      <c r="E31" s="151">
        <f>E28/3</f>
        <v>1200</v>
      </c>
      <c r="F31" s="153">
        <f>SUM(B31:E31)</f>
        <v>11328.24</v>
      </c>
    </row>
    <row r="32" spans="1:6" ht="12.75">
      <c r="A32" s="54" t="s">
        <v>85</v>
      </c>
      <c r="B32" s="151">
        <f>C28/3</f>
        <v>7200</v>
      </c>
      <c r="C32" s="152">
        <f>B32*10.67/100</f>
        <v>768.24</v>
      </c>
      <c r="D32" s="152">
        <f>B32*30/100</f>
        <v>2160</v>
      </c>
      <c r="E32" s="151">
        <f>E28/3</f>
        <v>1200</v>
      </c>
      <c r="F32" s="153">
        <f>SUM(B32:E32)</f>
        <v>11328.24</v>
      </c>
    </row>
    <row r="33" spans="1:6" ht="13.5" thickBot="1">
      <c r="A33" s="154" t="s">
        <v>86</v>
      </c>
      <c r="B33" s="155">
        <f>C28/3</f>
        <v>7200</v>
      </c>
      <c r="C33" s="156">
        <f>B33*10.67/100</f>
        <v>768.24</v>
      </c>
      <c r="D33" s="156">
        <f>B33*30/100</f>
        <v>2160</v>
      </c>
      <c r="E33" s="155">
        <f>E28/3</f>
        <v>1200</v>
      </c>
      <c r="F33" s="157">
        <f>SUM(B33:E33)</f>
        <v>11328.24</v>
      </c>
    </row>
    <row r="34" spans="1:6" ht="13.5" thickBot="1">
      <c r="A34" s="377" t="s">
        <v>4</v>
      </c>
      <c r="B34" s="378">
        <f>SUM(B31:B33)</f>
        <v>21600</v>
      </c>
      <c r="C34" s="379">
        <f>SUM(C31:C33)</f>
        <v>2304.7200000000003</v>
      </c>
      <c r="D34" s="379">
        <f>SUM(D31:D33)</f>
        <v>6480</v>
      </c>
      <c r="E34" s="378">
        <f>SUM(E31:E33)</f>
        <v>3600</v>
      </c>
      <c r="F34" s="380">
        <f>SUM(B34:E34)</f>
        <v>33984.72</v>
      </c>
    </row>
    <row r="35" spans="1:6" ht="13.5" thickBot="1">
      <c r="A35" s="132"/>
      <c r="B35" s="135"/>
      <c r="C35" s="119"/>
      <c r="D35" s="119"/>
      <c r="E35" s="42"/>
      <c r="F35" s="119"/>
    </row>
    <row r="36" spans="1:6" ht="15" customHeight="1">
      <c r="A36" s="359" t="s">
        <v>104</v>
      </c>
      <c r="B36" s="240" t="s">
        <v>116</v>
      </c>
      <c r="C36" s="127" t="s">
        <v>117</v>
      </c>
      <c r="D36" s="238" t="s">
        <v>100</v>
      </c>
      <c r="E36" s="238" t="s">
        <v>112</v>
      </c>
      <c r="F36" s="382" t="s">
        <v>118</v>
      </c>
    </row>
    <row r="37" spans="1:6" ht="15.75" customHeight="1" thickBot="1">
      <c r="A37" s="360"/>
      <c r="B37" s="239"/>
      <c r="C37" s="126" t="s">
        <v>101</v>
      </c>
      <c r="D37" s="239"/>
      <c r="E37" s="239"/>
      <c r="F37" s="383"/>
    </row>
    <row r="38" spans="1:6" ht="13.5" thickBot="1">
      <c r="A38" s="381" t="s">
        <v>108</v>
      </c>
      <c r="B38" s="134">
        <v>2500</v>
      </c>
      <c r="C38" s="130">
        <f>B38*12</f>
        <v>30000</v>
      </c>
      <c r="D38" s="130">
        <v>500</v>
      </c>
      <c r="E38" s="130">
        <f>D38*12</f>
        <v>6000</v>
      </c>
      <c r="F38" s="131">
        <f>C38+E38</f>
        <v>36000</v>
      </c>
    </row>
    <row r="39" spans="1:6" ht="14.25" thickBot="1" thickTop="1">
      <c r="A39" s="110" t="s">
        <v>106</v>
      </c>
      <c r="B39" s="244" t="s">
        <v>119</v>
      </c>
      <c r="C39" s="245"/>
      <c r="D39" s="245"/>
      <c r="E39" s="245"/>
      <c r="F39" s="246"/>
    </row>
    <row r="40" spans="1:6" ht="13.5" thickBot="1">
      <c r="A40" s="143"/>
      <c r="B40" s="143" t="s">
        <v>147</v>
      </c>
      <c r="C40" s="144" t="s">
        <v>148</v>
      </c>
      <c r="D40" s="144" t="s">
        <v>149</v>
      </c>
      <c r="E40" s="144" t="s">
        <v>150</v>
      </c>
      <c r="F40" s="145" t="s">
        <v>151</v>
      </c>
    </row>
    <row r="41" spans="1:6" ht="12.75">
      <c r="A41" s="162" t="s">
        <v>120</v>
      </c>
      <c r="B41" s="158">
        <f>C38*30%</f>
        <v>9000</v>
      </c>
      <c r="C41" s="133">
        <f>B41*10.67/100</f>
        <v>960.3</v>
      </c>
      <c r="D41" s="133">
        <f>B41*30/100</f>
        <v>2700</v>
      </c>
      <c r="E41" s="158">
        <f>E38*30%</f>
        <v>1800</v>
      </c>
      <c r="F41" s="163">
        <f>B41+C41+D41+E41</f>
        <v>14460.3</v>
      </c>
    </row>
    <row r="42" spans="1:6" ht="12.75">
      <c r="A42" s="129" t="s">
        <v>121</v>
      </c>
      <c r="B42" s="158">
        <f>C38*30%</f>
        <v>9000</v>
      </c>
      <c r="C42" s="159">
        <f>B42*10.67/100</f>
        <v>960.3</v>
      </c>
      <c r="D42" s="159">
        <f>B42*30/100</f>
        <v>2700</v>
      </c>
      <c r="E42" s="158">
        <f>E38*30%</f>
        <v>1800</v>
      </c>
      <c r="F42" s="163">
        <f>B42+C42+D42+E42</f>
        <v>14460.3</v>
      </c>
    </row>
    <row r="43" spans="1:6" ht="12.75">
      <c r="A43" s="129" t="s">
        <v>122</v>
      </c>
      <c r="B43" s="158">
        <f>C38*30%</f>
        <v>9000</v>
      </c>
      <c r="C43" s="160">
        <f>B43*10.67/100</f>
        <v>960.3</v>
      </c>
      <c r="D43" s="160">
        <f>B43*30/100</f>
        <v>2700</v>
      </c>
      <c r="E43" s="158">
        <f>E38*30%</f>
        <v>1800</v>
      </c>
      <c r="F43" s="163">
        <f>B43+C43+D43+E43</f>
        <v>14460.3</v>
      </c>
    </row>
    <row r="44" spans="1:6" ht="13.5" thickBot="1">
      <c r="A44" s="44" t="s">
        <v>123</v>
      </c>
      <c r="B44" s="161">
        <f>C38*10%</f>
        <v>3000</v>
      </c>
      <c r="C44" s="160">
        <f>B44*10.67/100</f>
        <v>320.1</v>
      </c>
      <c r="D44" s="160">
        <f>B44*30/100</f>
        <v>900</v>
      </c>
      <c r="E44" s="161">
        <f>E38*10%</f>
        <v>600</v>
      </c>
      <c r="F44" s="163">
        <f>B44+C44+D44+E44</f>
        <v>4820.1</v>
      </c>
    </row>
    <row r="45" spans="1:6" ht="13.5" thickBot="1">
      <c r="A45" s="377" t="s">
        <v>4</v>
      </c>
      <c r="B45" s="384">
        <f>SUM(B42:B44)+B41</f>
        <v>30000</v>
      </c>
      <c r="C45" s="385">
        <f>SUM(C42:C44)+C41</f>
        <v>3201</v>
      </c>
      <c r="D45" s="385">
        <f>SUM(D42:D44)+D41</f>
        <v>9000</v>
      </c>
      <c r="E45" s="384">
        <f>SUM(E42:E44)+E41</f>
        <v>6000</v>
      </c>
      <c r="F45" s="386">
        <f>SUM(B45:E45)</f>
        <v>48201</v>
      </c>
    </row>
    <row r="46" spans="1:6" s="370" customFormat="1" ht="12.75">
      <c r="A46" s="367"/>
      <c r="B46" s="368"/>
      <c r="C46" s="369"/>
      <c r="D46" s="369"/>
      <c r="E46" s="368"/>
      <c r="F46" s="369"/>
    </row>
    <row r="47" spans="1:6" s="370" customFormat="1" ht="12.75">
      <c r="A47" s="367"/>
      <c r="B47" s="368"/>
      <c r="C47" s="369"/>
      <c r="D47" s="369"/>
      <c r="E47" s="368"/>
      <c r="F47" s="369"/>
    </row>
    <row r="48" spans="1:6" s="370" customFormat="1" ht="12.75">
      <c r="A48" s="367"/>
      <c r="B48" s="368"/>
      <c r="C48" s="369"/>
      <c r="D48" s="369"/>
      <c r="E48" s="368"/>
      <c r="F48" s="369"/>
    </row>
    <row r="49" spans="1:6" s="370" customFormat="1" ht="12.75">
      <c r="A49" s="367"/>
      <c r="B49" s="368"/>
      <c r="C49" s="369"/>
      <c r="D49" s="369"/>
      <c r="E49" s="368"/>
      <c r="F49" s="369"/>
    </row>
    <row r="50" spans="1:6" s="370" customFormat="1" ht="12.75">
      <c r="A50" s="367"/>
      <c r="B50" s="368"/>
      <c r="C50" s="369"/>
      <c r="D50" s="369"/>
      <c r="E50" s="368"/>
      <c r="F50" s="369"/>
    </row>
    <row r="51" spans="1:6" s="370" customFormat="1" ht="12.75">
      <c r="A51" s="367"/>
      <c r="B51" s="368"/>
      <c r="C51" s="369"/>
      <c r="D51" s="369"/>
      <c r="E51" s="368"/>
      <c r="F51" s="369"/>
    </row>
    <row r="52" spans="1:7" ht="13.5" thickBot="1">
      <c r="A52" s="41"/>
      <c r="B52" s="41"/>
      <c r="C52" s="119"/>
      <c r="D52" s="119"/>
      <c r="E52" s="119"/>
      <c r="F52" s="119"/>
      <c r="G52" s="41"/>
    </row>
    <row r="53" spans="1:8" ht="15.75" customHeight="1" thickBot="1">
      <c r="A53" s="361" t="s">
        <v>42</v>
      </c>
      <c r="B53" s="353">
        <v>25000</v>
      </c>
      <c r="C53" s="387" t="s">
        <v>43</v>
      </c>
      <c r="D53" s="388"/>
      <c r="E53" s="389"/>
      <c r="F53" s="390" t="s">
        <v>44</v>
      </c>
      <c r="G53" s="109" t="s">
        <v>4</v>
      </c>
      <c r="H53" s="235"/>
    </row>
    <row r="54" spans="1:8" ht="13.5" thickBot="1">
      <c r="A54" s="362"/>
      <c r="B54" s="354"/>
      <c r="C54" s="391" t="s">
        <v>89</v>
      </c>
      <c r="D54" s="391" t="s">
        <v>85</v>
      </c>
      <c r="E54" s="391" t="s">
        <v>86</v>
      </c>
      <c r="F54" s="392"/>
      <c r="G54" s="47"/>
      <c r="H54" s="235"/>
    </row>
    <row r="55" spans="1:8" ht="12.75">
      <c r="A55" s="37" t="s">
        <v>127</v>
      </c>
      <c r="B55" s="38">
        <f>B53*50/100</f>
        <v>12500</v>
      </c>
      <c r="C55" s="50">
        <f>B55*50%</f>
        <v>6250</v>
      </c>
      <c r="D55" s="50">
        <f>B55*50%</f>
        <v>6250</v>
      </c>
      <c r="E55" s="50">
        <v>0</v>
      </c>
      <c r="F55" s="39"/>
      <c r="G55" s="49">
        <f>C55+D55+E55+F55</f>
        <v>12500</v>
      </c>
      <c r="H55" s="42"/>
    </row>
    <row r="56" spans="1:8" ht="12.75">
      <c r="A56" s="40" t="s">
        <v>128</v>
      </c>
      <c r="B56" s="42">
        <f>B53*45/100</f>
        <v>11250</v>
      </c>
      <c r="C56" s="51">
        <f>B56*30/100</f>
        <v>3375</v>
      </c>
      <c r="D56" s="51">
        <f>B56*30%</f>
        <v>3375</v>
      </c>
      <c r="E56" s="51">
        <f>B56*30%</f>
        <v>3375</v>
      </c>
      <c r="F56" s="49">
        <f>B56*10%</f>
        <v>1125</v>
      </c>
      <c r="G56" s="49">
        <f>C56+D56+E56+F56</f>
        <v>11250</v>
      </c>
      <c r="H56" s="42"/>
    </row>
    <row r="57" spans="1:8" ht="12.75">
      <c r="A57" s="67" t="s">
        <v>129</v>
      </c>
      <c r="B57" s="42">
        <f>B53*5/100</f>
        <v>1250</v>
      </c>
      <c r="C57" s="52"/>
      <c r="D57" s="52"/>
      <c r="E57" s="52"/>
      <c r="F57" s="49">
        <f>B57</f>
        <v>1250</v>
      </c>
      <c r="G57" s="49">
        <f>C57+D57+E57+F57</f>
        <v>1250</v>
      </c>
      <c r="H57" s="42"/>
    </row>
    <row r="58" spans="1:8" ht="13.5" thickBot="1">
      <c r="A58" s="40"/>
      <c r="B58" s="41"/>
      <c r="C58" s="52"/>
      <c r="D58" s="52"/>
      <c r="E58" s="52"/>
      <c r="F58" s="43"/>
      <c r="G58" s="43"/>
      <c r="H58" s="41"/>
    </row>
    <row r="59" spans="1:8" ht="13.5" thickBot="1">
      <c r="A59" s="30" t="s">
        <v>4</v>
      </c>
      <c r="B59" s="31"/>
      <c r="C59" s="393">
        <f>SUM(C55:C56)</f>
        <v>9625</v>
      </c>
      <c r="D59" s="393">
        <f>SUM(D55:D56)</f>
        <v>9625</v>
      </c>
      <c r="E59" s="393">
        <f>SUM(E55:E56)</f>
        <v>3375</v>
      </c>
      <c r="F59" s="394">
        <f>SUM(F56:F57)</f>
        <v>2375</v>
      </c>
      <c r="G59" s="394">
        <f>G55+G56+G57</f>
        <v>25000</v>
      </c>
      <c r="H59" s="42"/>
    </row>
    <row r="61" ht="13.5" thickBot="1"/>
    <row r="62" spans="1:7" ht="15.75" customHeight="1" thickBot="1">
      <c r="A62" s="361" t="s">
        <v>46</v>
      </c>
      <c r="B62" s="363"/>
      <c r="C62" s="236" t="s">
        <v>125</v>
      </c>
      <c r="D62" s="212"/>
      <c r="E62" s="237" t="s">
        <v>26</v>
      </c>
      <c r="F62" s="212"/>
      <c r="G62" s="212" t="s">
        <v>4</v>
      </c>
    </row>
    <row r="63" spans="1:7" ht="15.75" customHeight="1" thickBot="1">
      <c r="A63" s="362"/>
      <c r="B63" s="364"/>
      <c r="C63" s="65" t="s">
        <v>126</v>
      </c>
      <c r="D63" s="47" t="s">
        <v>153</v>
      </c>
      <c r="E63" s="214" t="s">
        <v>154</v>
      </c>
      <c r="F63" s="215"/>
      <c r="G63" s="213"/>
    </row>
    <row r="64" spans="1:7" ht="23.25" customHeight="1" thickBot="1">
      <c r="A64" s="136" t="s">
        <v>124</v>
      </c>
      <c r="B64" s="137">
        <v>100000</v>
      </c>
      <c r="C64" s="66">
        <f>B64*80/100</f>
        <v>80000</v>
      </c>
      <c r="D64" s="66">
        <f>B64*10/100</f>
        <v>10000</v>
      </c>
      <c r="E64" s="216">
        <v>10000</v>
      </c>
      <c r="F64" s="215"/>
      <c r="G64" s="53">
        <f>SUM(C64:F64)</f>
        <v>100000</v>
      </c>
    </row>
    <row r="65" ht="11.25" customHeight="1"/>
    <row r="66" ht="12.75" hidden="1"/>
    <row r="67" spans="1:15" ht="15" customHeight="1" hidden="1">
      <c r="A67" s="233" t="s">
        <v>53</v>
      </c>
      <c r="B67" s="217" t="s">
        <v>54</v>
      </c>
      <c r="C67" s="217" t="s">
        <v>55</v>
      </c>
      <c r="D67" s="217" t="s">
        <v>56</v>
      </c>
      <c r="E67" s="225" t="s">
        <v>73</v>
      </c>
      <c r="F67" s="219" t="s">
        <v>59</v>
      </c>
      <c r="G67" s="221" t="s">
        <v>57</v>
      </c>
      <c r="H67" s="231" t="s">
        <v>58</v>
      </c>
      <c r="I67" s="219" t="s">
        <v>60</v>
      </c>
      <c r="J67" s="221" t="s">
        <v>61</v>
      </c>
      <c r="K67" s="223" t="s">
        <v>62</v>
      </c>
      <c r="L67" s="225" t="s">
        <v>63</v>
      </c>
      <c r="M67" s="209" t="s">
        <v>75</v>
      </c>
      <c r="N67" s="217" t="s">
        <v>1</v>
      </c>
      <c r="O67" s="207" t="s">
        <v>74</v>
      </c>
    </row>
    <row r="68" spans="1:15" ht="20.25" customHeight="1" hidden="1" thickBot="1">
      <c r="A68" s="234"/>
      <c r="B68" s="218"/>
      <c r="C68" s="218"/>
      <c r="D68" s="218"/>
      <c r="E68" s="218"/>
      <c r="F68" s="220"/>
      <c r="G68" s="222"/>
      <c r="H68" s="232"/>
      <c r="I68" s="220"/>
      <c r="J68" s="222"/>
      <c r="K68" s="224"/>
      <c r="L68" s="226"/>
      <c r="M68" s="210"/>
      <c r="N68" s="218"/>
      <c r="O68" s="208"/>
    </row>
    <row r="69" spans="6:15" ht="0.75" customHeight="1" hidden="1">
      <c r="F69" s="69"/>
      <c r="G69" s="70"/>
      <c r="H69" s="71"/>
      <c r="I69" s="68"/>
      <c r="J69" s="70"/>
      <c r="K69" s="72"/>
      <c r="L69" s="25"/>
      <c r="N69" s="25"/>
      <c r="O69" s="25"/>
    </row>
    <row r="70" spans="1:15" ht="12.75" hidden="1">
      <c r="A70" s="73" t="s">
        <v>48</v>
      </c>
      <c r="B70" s="74">
        <v>40000</v>
      </c>
      <c r="C70" s="75">
        <f>B70*80/100</f>
        <v>32000</v>
      </c>
      <c r="D70" s="75">
        <v>100</v>
      </c>
      <c r="E70" s="76">
        <f>C70*D70</f>
        <v>3200000</v>
      </c>
      <c r="F70" s="76">
        <f>E70*50/100</f>
        <v>1600000</v>
      </c>
      <c r="G70" s="77">
        <f>F70/25</f>
        <v>64000</v>
      </c>
      <c r="H70" s="78">
        <f>G70*10</f>
        <v>640000</v>
      </c>
      <c r="I70" s="76">
        <f>E70*50/100</f>
        <v>1600000</v>
      </c>
      <c r="J70" s="77">
        <f>I70/100</f>
        <v>16000</v>
      </c>
      <c r="K70" s="79">
        <f>J70*25</f>
        <v>400000</v>
      </c>
      <c r="L70" s="80">
        <f>H70+K70</f>
        <v>1040000</v>
      </c>
      <c r="M70" s="75" t="s">
        <v>64</v>
      </c>
      <c r="N70" s="81">
        <v>125000</v>
      </c>
      <c r="O70" s="82">
        <f>L70-N70</f>
        <v>915000</v>
      </c>
    </row>
    <row r="71" spans="1:15" ht="20.25" customHeight="1" hidden="1" thickBot="1">
      <c r="A71" s="83" t="s">
        <v>49</v>
      </c>
      <c r="B71" s="84">
        <v>30000</v>
      </c>
      <c r="C71" s="56">
        <f>B71*80/100</f>
        <v>24000</v>
      </c>
      <c r="D71" s="56">
        <v>100</v>
      </c>
      <c r="E71" s="85">
        <f>C71*D71</f>
        <v>2400000</v>
      </c>
      <c r="F71" s="85">
        <f>E71*50/100</f>
        <v>1200000</v>
      </c>
      <c r="G71" s="86">
        <f>F71/25</f>
        <v>48000</v>
      </c>
      <c r="H71" s="87">
        <f>G71*10</f>
        <v>480000</v>
      </c>
      <c r="I71" s="85">
        <f>E71*50/100</f>
        <v>1200000</v>
      </c>
      <c r="J71" s="86">
        <f>I71/100</f>
        <v>12000</v>
      </c>
      <c r="K71" s="88">
        <f>J71*25</f>
        <v>300000</v>
      </c>
      <c r="L71" s="89">
        <f>H71+K71</f>
        <v>780000</v>
      </c>
      <c r="M71" s="56" t="s">
        <v>65</v>
      </c>
      <c r="N71" s="57">
        <v>125000</v>
      </c>
      <c r="O71" s="90">
        <f>L71-N71</f>
        <v>655000</v>
      </c>
    </row>
    <row r="72" spans="1:7" ht="12.75" hidden="1">
      <c r="A72" s="12" t="s">
        <v>77</v>
      </c>
      <c r="B72" s="12"/>
      <c r="G72" s="23"/>
    </row>
    <row r="73" spans="1:2" ht="12.75" hidden="1">
      <c r="A73" s="12"/>
      <c r="B73" s="12"/>
    </row>
    <row r="75" ht="13.5" thickBot="1"/>
    <row r="76" spans="3:7" ht="12.75">
      <c r="C76" s="365" t="s">
        <v>145</v>
      </c>
      <c r="D76" s="365"/>
      <c r="E76" s="247" t="s">
        <v>146</v>
      </c>
      <c r="F76" s="227" t="s">
        <v>8</v>
      </c>
      <c r="G76" s="229" t="s">
        <v>155</v>
      </c>
    </row>
    <row r="77" spans="3:7" ht="13.5" thickBot="1">
      <c r="C77" s="366"/>
      <c r="D77" s="366"/>
      <c r="E77" s="248"/>
      <c r="F77" s="228"/>
      <c r="G77" s="230"/>
    </row>
    <row r="78" spans="3:7" ht="12.75">
      <c r="C78" s="73" t="str">
        <f>Depreciaciones!A20</f>
        <v>PRODUCCIÓN TOMATE</v>
      </c>
      <c r="D78" s="75"/>
      <c r="E78" s="149">
        <f>Depreciaciones!B20</f>
        <v>100000</v>
      </c>
      <c r="F78" s="165">
        <f>E78*100/E81</f>
        <v>41.666666666666664</v>
      </c>
      <c r="G78" s="169">
        <f>4000*F78%</f>
        <v>1666.6666666666665</v>
      </c>
    </row>
    <row r="79" spans="3:7" ht="12.75">
      <c r="C79" s="91" t="str">
        <f>Depreciaciones!A21</f>
        <v>PRODUCCIÓN CARDAMOMO</v>
      </c>
      <c r="D79" s="32"/>
      <c r="E79" s="150">
        <f>Depreciaciones!B21</f>
        <v>60000</v>
      </c>
      <c r="F79" s="166">
        <f>E79*100/E81</f>
        <v>25</v>
      </c>
      <c r="G79" s="170">
        <f>4000*F79%</f>
        <v>1000</v>
      </c>
    </row>
    <row r="80" spans="3:7" ht="12.75">
      <c r="C80" s="91" t="str">
        <f>Depreciaciones!A22</f>
        <v>PRODUCCIÓN CAFÉ</v>
      </c>
      <c r="D80" s="32"/>
      <c r="E80" s="150">
        <f>Depreciaciones!B22</f>
        <v>80000</v>
      </c>
      <c r="F80" s="167">
        <f>E80*100/E81</f>
        <v>33.333333333333336</v>
      </c>
      <c r="G80" s="170">
        <f>4000*F80%</f>
        <v>1333.3333333333335</v>
      </c>
    </row>
    <row r="81" spans="3:7" ht="13.5" thickBot="1">
      <c r="C81" s="44" t="s">
        <v>67</v>
      </c>
      <c r="D81" s="45"/>
      <c r="E81" s="164">
        <f>SUM(E78:E80)</f>
        <v>240000</v>
      </c>
      <c r="F81" s="168">
        <f>SUM(F78:F80)</f>
        <v>100</v>
      </c>
      <c r="G81" s="171">
        <f>SUM(G78:G80)</f>
        <v>4000</v>
      </c>
    </row>
    <row r="84" ht="13.5" thickBot="1"/>
    <row r="85" spans="3:7" ht="12.75">
      <c r="C85" s="395" t="s">
        <v>53</v>
      </c>
      <c r="D85" s="395"/>
      <c r="E85" s="247" t="s">
        <v>146</v>
      </c>
      <c r="F85" s="227" t="s">
        <v>8</v>
      </c>
      <c r="G85" s="229" t="s">
        <v>157</v>
      </c>
    </row>
    <row r="86" spans="3:7" ht="13.5" thickBot="1">
      <c r="C86" s="396"/>
      <c r="D86" s="396"/>
      <c r="E86" s="248"/>
      <c r="F86" s="228"/>
      <c r="G86" s="230"/>
    </row>
    <row r="87" spans="3:7" ht="12.75">
      <c r="C87" s="73" t="str">
        <f>C78</f>
        <v>PRODUCCIÓN TOMATE</v>
      </c>
      <c r="D87" s="75"/>
      <c r="E87" s="149">
        <v>100000</v>
      </c>
      <c r="F87" s="165">
        <f>E87*100/E90</f>
        <v>41.666666666666664</v>
      </c>
      <c r="G87" s="169">
        <f>30000*F87%</f>
        <v>12499.999999999998</v>
      </c>
    </row>
    <row r="88" spans="3:7" ht="12.75">
      <c r="C88" s="91" t="str">
        <f>C79</f>
        <v>PRODUCCIÓN CARDAMOMO</v>
      </c>
      <c r="D88" s="32"/>
      <c r="E88" s="150">
        <v>60000</v>
      </c>
      <c r="F88" s="166">
        <f>E88*100/E90</f>
        <v>25</v>
      </c>
      <c r="G88" s="170">
        <f>30000*F88%</f>
        <v>7500</v>
      </c>
    </row>
    <row r="89" spans="3:7" ht="12.75">
      <c r="C89" s="91" t="str">
        <f>C80</f>
        <v>PRODUCCIÓN CAFÉ</v>
      </c>
      <c r="D89" s="32"/>
      <c r="E89" s="150">
        <v>80000</v>
      </c>
      <c r="F89" s="167">
        <f>E89*100/E90</f>
        <v>33.333333333333336</v>
      </c>
      <c r="G89" s="170">
        <f>30000*F89%</f>
        <v>10000.000000000002</v>
      </c>
    </row>
    <row r="90" spans="3:7" ht="13.5" thickBot="1">
      <c r="C90" s="44" t="s">
        <v>67</v>
      </c>
      <c r="D90" s="45"/>
      <c r="E90" s="164">
        <f>SUM(E87:E89)</f>
        <v>240000</v>
      </c>
      <c r="F90" s="168">
        <f>SUM(F87:F89)</f>
        <v>100</v>
      </c>
      <c r="G90" s="171">
        <f>SUM(G87:G89)</f>
        <v>30000</v>
      </c>
    </row>
  </sheetData>
  <sheetProtection/>
  <mergeCells count="54">
    <mergeCell ref="B36:B37"/>
    <mergeCell ref="D36:D37"/>
    <mergeCell ref="C85:D86"/>
    <mergeCell ref="E85:E86"/>
    <mergeCell ref="F85:F86"/>
    <mergeCell ref="G85:G86"/>
    <mergeCell ref="E76:E77"/>
    <mergeCell ref="B20:B21"/>
    <mergeCell ref="C20:C21"/>
    <mergeCell ref="B39:F39"/>
    <mergeCell ref="A62:B63"/>
    <mergeCell ref="H20:H21"/>
    <mergeCell ref="I20:I21"/>
    <mergeCell ref="D26:D27"/>
    <mergeCell ref="E26:E27"/>
    <mergeCell ref="F26:F27"/>
    <mergeCell ref="A36:A37"/>
    <mergeCell ref="H53:H54"/>
    <mergeCell ref="C62:D62"/>
    <mergeCell ref="E62:F62"/>
    <mergeCell ref="G20:G21"/>
    <mergeCell ref="A26:A27"/>
    <mergeCell ref="B26:B27"/>
    <mergeCell ref="E36:E37"/>
    <mergeCell ref="F36:F37"/>
    <mergeCell ref="B29:F29"/>
    <mergeCell ref="A20:A21"/>
    <mergeCell ref="A13:A14"/>
    <mergeCell ref="A53:A54"/>
    <mergeCell ref="B53:B54"/>
    <mergeCell ref="C53:E53"/>
    <mergeCell ref="F53:F54"/>
    <mergeCell ref="G67:G68"/>
    <mergeCell ref="D67:D68"/>
    <mergeCell ref="E67:E68"/>
    <mergeCell ref="B67:B68"/>
    <mergeCell ref="A67:A68"/>
    <mergeCell ref="K67:K68"/>
    <mergeCell ref="L67:L68"/>
    <mergeCell ref="N67:N68"/>
    <mergeCell ref="F76:F77"/>
    <mergeCell ref="G76:G77"/>
    <mergeCell ref="H67:H68"/>
    <mergeCell ref="F67:F68"/>
    <mergeCell ref="O67:O68"/>
    <mergeCell ref="M67:M68"/>
    <mergeCell ref="C76:D77"/>
    <mergeCell ref="C25:D25"/>
    <mergeCell ref="G62:G63"/>
    <mergeCell ref="E63:F63"/>
    <mergeCell ref="E64:F64"/>
    <mergeCell ref="C67:C68"/>
    <mergeCell ref="I67:I68"/>
    <mergeCell ref="J67:J68"/>
  </mergeCells>
  <printOptions horizontalCentered="1"/>
  <pageMargins left="0.5905511811023623" right="0.3937007874015748" top="0.3937007874015748" bottom="0.3937007874015748" header="0" footer="0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6"/>
  <sheetViews>
    <sheetView zoomScalePageLayoutView="0" workbookViewId="0" topLeftCell="A1">
      <selection activeCell="C31" sqref="C31"/>
    </sheetView>
  </sheetViews>
  <sheetFormatPr defaultColWidth="11.421875" defaultRowHeight="15"/>
  <cols>
    <col min="1" max="1" width="43.140625" style="1" customWidth="1"/>
    <col min="2" max="2" width="12.7109375" style="1" bestFit="1" customWidth="1"/>
    <col min="3" max="3" width="12.7109375" style="1" customWidth="1"/>
    <col min="4" max="4" width="14.7109375" style="1" customWidth="1"/>
    <col min="5" max="5" width="18.7109375" style="1" customWidth="1"/>
    <col min="6" max="6" width="14.57421875" style="1" customWidth="1"/>
    <col min="7" max="7" width="14.28125" style="1" customWidth="1"/>
    <col min="8" max="8" width="13.7109375" style="1" hidden="1" customWidth="1"/>
    <col min="9" max="12" width="14.5742187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spans="6:9" ht="13.5" thickBot="1">
      <c r="F1" s="253" t="s">
        <v>22</v>
      </c>
      <c r="G1" s="254"/>
      <c r="H1" s="93" t="s">
        <v>25</v>
      </c>
      <c r="I1" s="22" t="s">
        <v>52</v>
      </c>
    </row>
    <row r="2" spans="1:12" ht="12.75" customHeight="1">
      <c r="A2" s="256" t="s">
        <v>0</v>
      </c>
      <c r="B2" s="256" t="s">
        <v>7</v>
      </c>
      <c r="C2" s="257" t="s">
        <v>137</v>
      </c>
      <c r="D2" s="256" t="s">
        <v>8</v>
      </c>
      <c r="E2" s="256" t="s">
        <v>12</v>
      </c>
      <c r="F2" s="252" t="str">
        <f>'HOJA TECNICA'!B7</f>
        <v>CARDAMOMO</v>
      </c>
      <c r="G2" s="252" t="str">
        <f>'HOJA TECNICA'!C7</f>
        <v>CAFÉ</v>
      </c>
      <c r="H2" s="252" t="str">
        <f>'HOJA TECNICA'!D7</f>
        <v>CAFÉ</v>
      </c>
      <c r="I2" s="249" t="str">
        <f>'HOJA TECNICA'!G7</f>
        <v>TOMATE</v>
      </c>
      <c r="J2" s="252" t="s">
        <v>17</v>
      </c>
      <c r="K2" s="251" t="s">
        <v>4</v>
      </c>
      <c r="L2" s="255"/>
    </row>
    <row r="3" spans="1:12" ht="12.75">
      <c r="A3" s="256" t="s">
        <v>6</v>
      </c>
      <c r="B3" s="256"/>
      <c r="C3" s="258"/>
      <c r="D3" s="256"/>
      <c r="E3" s="256"/>
      <c r="F3" s="250"/>
      <c r="G3" s="250" t="s">
        <v>14</v>
      </c>
      <c r="H3" s="250"/>
      <c r="I3" s="250" t="s">
        <v>15</v>
      </c>
      <c r="J3" s="250"/>
      <c r="K3" s="251"/>
      <c r="L3" s="255"/>
    </row>
    <row r="4" spans="1:12" ht="15">
      <c r="A4" s="16" t="s">
        <v>130</v>
      </c>
      <c r="B4" s="2">
        <v>200000</v>
      </c>
      <c r="C4" s="138">
        <v>12</v>
      </c>
      <c r="D4" s="3">
        <v>0.15</v>
      </c>
      <c r="E4" s="4">
        <f aca="true" t="shared" si="0" ref="E4:E9">B4*D4</f>
        <v>30000</v>
      </c>
      <c r="F4" s="2">
        <f>E4</f>
        <v>30000</v>
      </c>
      <c r="G4" s="2"/>
      <c r="H4" s="2"/>
      <c r="I4" s="2"/>
      <c r="J4" s="2"/>
      <c r="K4" s="28">
        <f>F4</f>
        <v>30000</v>
      </c>
      <c r="L4" s="26"/>
    </row>
    <row r="5" spans="1:12" ht="15">
      <c r="A5" s="16" t="s">
        <v>131</v>
      </c>
      <c r="B5" s="2">
        <v>200000</v>
      </c>
      <c r="C5" s="138">
        <v>12</v>
      </c>
      <c r="D5" s="3">
        <v>0.15</v>
      </c>
      <c r="E5" s="4">
        <f t="shared" si="0"/>
        <v>30000</v>
      </c>
      <c r="F5" s="2"/>
      <c r="G5" s="2">
        <f>E5</f>
        <v>30000</v>
      </c>
      <c r="H5" s="2"/>
      <c r="I5" s="2"/>
      <c r="J5" s="2"/>
      <c r="K5" s="28">
        <f>G5</f>
        <v>30000</v>
      </c>
      <c r="L5" s="26"/>
    </row>
    <row r="6" spans="1:12" ht="15">
      <c r="A6" s="16" t="s">
        <v>132</v>
      </c>
      <c r="B6" s="2">
        <v>50000</v>
      </c>
      <c r="C6" s="138">
        <v>12</v>
      </c>
      <c r="D6" s="3">
        <v>0.2</v>
      </c>
      <c r="E6" s="4">
        <f t="shared" si="0"/>
        <v>10000</v>
      </c>
      <c r="F6" s="2"/>
      <c r="G6" s="2">
        <f>E6</f>
        <v>10000</v>
      </c>
      <c r="H6" s="2"/>
      <c r="I6" s="2"/>
      <c r="J6" s="2"/>
      <c r="K6" s="28">
        <f>G6+F6</f>
        <v>10000</v>
      </c>
      <c r="L6" s="26"/>
    </row>
    <row r="7" spans="1:12" ht="15">
      <c r="A7" s="16" t="s">
        <v>68</v>
      </c>
      <c r="B7" s="2">
        <v>100000</v>
      </c>
      <c r="C7" s="138">
        <v>12</v>
      </c>
      <c r="D7" s="3">
        <v>0.2</v>
      </c>
      <c r="E7" s="4">
        <f t="shared" si="0"/>
        <v>20000</v>
      </c>
      <c r="F7" s="2">
        <f>(E7*60%)/2</f>
        <v>6000</v>
      </c>
      <c r="G7" s="2">
        <f>(E7*60%)/2</f>
        <v>6000</v>
      </c>
      <c r="H7" s="2"/>
      <c r="I7" s="2">
        <f>E7*30%</f>
        <v>6000</v>
      </c>
      <c r="J7" s="2">
        <f>E7*10%</f>
        <v>2000</v>
      </c>
      <c r="K7" s="28">
        <f>SUM(F7:J7)</f>
        <v>20000</v>
      </c>
      <c r="L7" s="26"/>
    </row>
    <row r="8" spans="1:12" ht="15">
      <c r="A8" s="16" t="s">
        <v>69</v>
      </c>
      <c r="B8" s="2">
        <v>30000</v>
      </c>
      <c r="C8" s="138">
        <v>12</v>
      </c>
      <c r="D8" s="3">
        <v>0.2</v>
      </c>
      <c r="E8" s="4">
        <f t="shared" si="0"/>
        <v>6000</v>
      </c>
      <c r="F8" s="2">
        <f>E8*50%</f>
        <v>3000</v>
      </c>
      <c r="G8" s="2">
        <f>E8*50%</f>
        <v>3000</v>
      </c>
      <c r="H8" s="2"/>
      <c r="I8" s="2"/>
      <c r="J8" s="2"/>
      <c r="K8" s="28">
        <f>F8+G8</f>
        <v>6000</v>
      </c>
      <c r="L8" s="26"/>
    </row>
    <row r="9" spans="1:12" ht="15">
      <c r="A9" s="16" t="s">
        <v>136</v>
      </c>
      <c r="B9" s="2">
        <v>20000</v>
      </c>
      <c r="C9" s="138">
        <v>12</v>
      </c>
      <c r="D9" s="3">
        <v>0.2</v>
      </c>
      <c r="E9" s="4">
        <f t="shared" si="0"/>
        <v>4000</v>
      </c>
      <c r="F9" s="2"/>
      <c r="G9" s="2"/>
      <c r="H9" s="2"/>
      <c r="I9" s="2"/>
      <c r="J9" s="2">
        <f>E9</f>
        <v>4000</v>
      </c>
      <c r="K9" s="28">
        <f>SUM(F9:J9)</f>
        <v>4000</v>
      </c>
      <c r="L9" s="26"/>
    </row>
    <row r="10" spans="1:12" ht="15">
      <c r="A10" s="94" t="s">
        <v>133</v>
      </c>
      <c r="B10" s="2">
        <v>70000</v>
      </c>
      <c r="C10" s="138">
        <v>12</v>
      </c>
      <c r="D10" s="3">
        <v>0.2</v>
      </c>
      <c r="E10" s="4">
        <f>(B10*D10)/12*12</f>
        <v>14000</v>
      </c>
      <c r="F10" s="95">
        <f>E10</f>
        <v>14000</v>
      </c>
      <c r="G10" s="95"/>
      <c r="H10" s="95"/>
      <c r="I10" s="95"/>
      <c r="J10" s="95"/>
      <c r="K10" s="96">
        <f>F10</f>
        <v>14000</v>
      </c>
      <c r="L10" s="26"/>
    </row>
    <row r="11" spans="1:12" ht="15">
      <c r="A11" s="16" t="s">
        <v>138</v>
      </c>
      <c r="B11" s="2">
        <v>80000</v>
      </c>
      <c r="C11" s="138">
        <v>7</v>
      </c>
      <c r="D11" s="3">
        <v>0.2</v>
      </c>
      <c r="E11" s="4">
        <f>(B11*D11)/12*7</f>
        <v>9333.333333333332</v>
      </c>
      <c r="F11" s="172">
        <v>4666</v>
      </c>
      <c r="G11" s="172">
        <f>E11/2</f>
        <v>4666.666666666666</v>
      </c>
      <c r="H11" s="172"/>
      <c r="I11" s="172"/>
      <c r="J11" s="172"/>
      <c r="K11" s="173">
        <f>F11+G11</f>
        <v>9332.666666666666</v>
      </c>
      <c r="L11" s="26"/>
    </row>
    <row r="12" spans="1:12" ht="15">
      <c r="A12" s="16" t="s">
        <v>134</v>
      </c>
      <c r="B12" s="2">
        <v>60000</v>
      </c>
      <c r="C12" s="138">
        <v>3</v>
      </c>
      <c r="D12" s="3">
        <v>0.05</v>
      </c>
      <c r="E12" s="4">
        <f>(B12*D12)/12*3</f>
        <v>750</v>
      </c>
      <c r="F12" s="2">
        <f>E12*C21</f>
        <v>187.5</v>
      </c>
      <c r="G12" s="2">
        <f>E12*C22</f>
        <v>250</v>
      </c>
      <c r="H12" s="2"/>
      <c r="I12" s="2">
        <f>E12*C20</f>
        <v>312.5</v>
      </c>
      <c r="J12" s="2"/>
      <c r="K12" s="28">
        <f>F12+G12+I12</f>
        <v>750</v>
      </c>
      <c r="L12" s="26"/>
    </row>
    <row r="13" spans="1:12" ht="15">
      <c r="A13" s="16" t="s">
        <v>70</v>
      </c>
      <c r="B13" s="2">
        <v>100000</v>
      </c>
      <c r="C13" s="138">
        <v>12</v>
      </c>
      <c r="D13" s="3">
        <v>0.2</v>
      </c>
      <c r="E13" s="4">
        <f>(B13*D13)/12*12</f>
        <v>20000</v>
      </c>
      <c r="F13" s="2">
        <f>E13*75%/2</f>
        <v>7500</v>
      </c>
      <c r="G13" s="2">
        <f>E13*75%/2</f>
        <v>7500</v>
      </c>
      <c r="H13" s="2"/>
      <c r="I13" s="2">
        <f>E13*20%</f>
        <v>4000</v>
      </c>
      <c r="J13" s="2">
        <f>E13*5/100</f>
        <v>1000</v>
      </c>
      <c r="K13" s="28">
        <f>F13+G13+I13+J13</f>
        <v>20000</v>
      </c>
      <c r="L13" s="26"/>
    </row>
    <row r="14" spans="1:12" ht="15">
      <c r="A14" s="16" t="s">
        <v>135</v>
      </c>
      <c r="B14" s="2">
        <v>50000</v>
      </c>
      <c r="C14" s="138">
        <v>12</v>
      </c>
      <c r="D14" s="3">
        <v>0.05</v>
      </c>
      <c r="E14" s="4">
        <f>(B14*D14)/12*12</f>
        <v>2500</v>
      </c>
      <c r="F14" s="2"/>
      <c r="G14" s="2"/>
      <c r="H14" s="2"/>
      <c r="I14" s="2"/>
      <c r="J14" s="2">
        <f>E14</f>
        <v>2500</v>
      </c>
      <c r="K14" s="28">
        <f>J14</f>
        <v>2500</v>
      </c>
      <c r="L14" s="26"/>
    </row>
    <row r="15" spans="1:12" ht="12.75">
      <c r="A15" s="5"/>
      <c r="B15" s="6" t="s">
        <v>11</v>
      </c>
      <c r="C15" s="6"/>
      <c r="D15" s="6"/>
      <c r="E15" s="6">
        <f>+SUM(E4:E11)+E12+E13+E14</f>
        <v>146583.3333333333</v>
      </c>
      <c r="F15" s="6">
        <f>+SUM(F4:F11)+F12+F13</f>
        <v>65353.5</v>
      </c>
      <c r="G15" s="6">
        <f>+SUM(G4:G11)+G12+G13</f>
        <v>61416.666666666664</v>
      </c>
      <c r="H15" s="6">
        <f>+SUM(H4:H11)</f>
        <v>0</v>
      </c>
      <c r="I15" s="6">
        <f>+SUM(I4:I11)+I12+I13</f>
        <v>10312.5</v>
      </c>
      <c r="J15" s="6">
        <f>+SUM(J4:J11)+J13+J14</f>
        <v>9500</v>
      </c>
      <c r="K15" s="29">
        <f>+SUM(K4:K11)+K12+K13+K14</f>
        <v>146582.6666666667</v>
      </c>
      <c r="L15" s="27"/>
    </row>
    <row r="16" spans="2:11" ht="12.75">
      <c r="B16" s="7"/>
      <c r="C16" s="7"/>
      <c r="E16" s="7"/>
      <c r="F16" s="8"/>
      <c r="G16" s="8"/>
      <c r="H16" s="8"/>
      <c r="I16" s="8"/>
      <c r="J16" s="8"/>
      <c r="K16" s="8"/>
    </row>
    <row r="17" spans="2:11" ht="12.75">
      <c r="B17" s="7"/>
      <c r="C17" s="7"/>
      <c r="E17" s="7"/>
      <c r="F17" s="8"/>
      <c r="G17" s="8"/>
      <c r="H17" s="8"/>
      <c r="I17" s="8"/>
      <c r="J17" s="8"/>
      <c r="K17" s="8"/>
    </row>
    <row r="18" ht="12.75">
      <c r="F18" s="9" t="s">
        <v>13</v>
      </c>
    </row>
    <row r="19" ht="12.75">
      <c r="F19" s="9"/>
    </row>
    <row r="20" spans="1:6" ht="12.75">
      <c r="A20" s="1" t="s">
        <v>142</v>
      </c>
      <c r="B20" s="140">
        <f>'HOJA TECNICA'!G59</f>
        <v>100000</v>
      </c>
      <c r="C20" s="142">
        <f>B20*C23/B23</f>
        <v>0.4166666666666667</v>
      </c>
      <c r="F20" s="9"/>
    </row>
    <row r="21" spans="1:6" ht="12.75">
      <c r="A21" s="1" t="s">
        <v>143</v>
      </c>
      <c r="B21" s="140">
        <f>'HOJA TECNICA'!G60</f>
        <v>60000</v>
      </c>
      <c r="C21" s="142">
        <f>B21*C23/B23</f>
        <v>0.25</v>
      </c>
      <c r="F21" s="9"/>
    </row>
    <row r="22" spans="1:6" ht="12.75">
      <c r="A22" s="1" t="s">
        <v>144</v>
      </c>
      <c r="B22" s="140">
        <f>'HOJA TECNICA'!G61</f>
        <v>80000</v>
      </c>
      <c r="C22" s="142">
        <f>B22/B23</f>
        <v>0.3333333333333333</v>
      </c>
      <c r="F22" s="9"/>
    </row>
    <row r="23" spans="2:6" ht="12.75">
      <c r="B23" s="140">
        <f>B20+B21+B22</f>
        <v>240000</v>
      </c>
      <c r="C23" s="141">
        <v>1</v>
      </c>
      <c r="F23" s="9"/>
    </row>
    <row r="24" ht="12.75">
      <c r="F24" s="9"/>
    </row>
    <row r="25" ht="12.75">
      <c r="F25" s="9"/>
    </row>
    <row r="26" ht="12.75">
      <c r="F26" s="9"/>
    </row>
  </sheetData>
  <sheetProtection/>
  <mergeCells count="13">
    <mergeCell ref="A2:A3"/>
    <mergeCell ref="B2:B3"/>
    <mergeCell ref="D2:D3"/>
    <mergeCell ref="E2:E3"/>
    <mergeCell ref="F2:F3"/>
    <mergeCell ref="G2:G3"/>
    <mergeCell ref="C2:C3"/>
    <mergeCell ref="I2:I3"/>
    <mergeCell ref="K2:K3"/>
    <mergeCell ref="H2:H3"/>
    <mergeCell ref="F1:G1"/>
    <mergeCell ref="L2:L3"/>
    <mergeCell ref="J2:J3"/>
  </mergeCells>
  <hyperlinks>
    <hyperlink ref="F18" location="'Hoja Tecnica'!A31" display="Hoja Tecnica"/>
  </hyperlink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113"/>
  <sheetViews>
    <sheetView zoomScalePageLayoutView="0" workbookViewId="0" topLeftCell="A54">
      <selection activeCell="B117" sqref="B117"/>
    </sheetView>
  </sheetViews>
  <sheetFormatPr defaultColWidth="11.421875" defaultRowHeight="15"/>
  <cols>
    <col min="1" max="1" width="7.57421875" style="97" customWidth="1"/>
    <col min="2" max="2" width="46.8515625" style="97" customWidth="1"/>
    <col min="3" max="3" width="12.57421875" style="97" bestFit="1" customWidth="1"/>
    <col min="4" max="4" width="12.28125" style="97" bestFit="1" customWidth="1"/>
    <col min="5" max="5" width="11.00390625" style="97" customWidth="1"/>
    <col min="6" max="6" width="13.28125" style="97" customWidth="1"/>
    <col min="7" max="7" width="11.00390625" style="97" customWidth="1"/>
    <col min="8" max="8" width="12.00390625" style="0" bestFit="1" customWidth="1"/>
  </cols>
  <sheetData>
    <row r="1" spans="1:3" ht="15">
      <c r="A1" s="259" t="s">
        <v>174</v>
      </c>
      <c r="B1" s="259"/>
      <c r="C1" s="259"/>
    </row>
    <row r="2" spans="1:3" ht="15">
      <c r="A2" s="259" t="s">
        <v>79</v>
      </c>
      <c r="B2" s="259"/>
      <c r="C2" s="259"/>
    </row>
    <row r="3" spans="1:3" ht="15">
      <c r="A3" s="260" t="s">
        <v>177</v>
      </c>
      <c r="B3" s="260"/>
      <c r="C3" s="260"/>
    </row>
    <row r="4" spans="1:3" ht="15">
      <c r="A4" s="259" t="s">
        <v>80</v>
      </c>
      <c r="B4" s="259"/>
      <c r="C4" s="259"/>
    </row>
    <row r="5" ht="15" hidden="1"/>
    <row r="6" spans="1:2" ht="15">
      <c r="A6" s="99" t="s">
        <v>81</v>
      </c>
      <c r="B6" s="98"/>
    </row>
    <row r="7" spans="1:2" ht="15" hidden="1">
      <c r="A7" s="99"/>
      <c r="B7" s="98"/>
    </row>
    <row r="8" spans="1:7" s="193" customFormat="1" ht="15">
      <c r="A8" s="99"/>
      <c r="B8" s="319" t="s">
        <v>179</v>
      </c>
      <c r="C8" s="97"/>
      <c r="D8" s="97"/>
      <c r="E8" s="97"/>
      <c r="F8" s="97"/>
      <c r="G8" s="97"/>
    </row>
    <row r="9" spans="2:4" ht="15">
      <c r="B9" s="99" t="s">
        <v>167</v>
      </c>
      <c r="C9" s="186">
        <v>300000</v>
      </c>
      <c r="D9" s="186"/>
    </row>
    <row r="10" spans="2:4" ht="15">
      <c r="B10" s="99" t="s">
        <v>168</v>
      </c>
      <c r="C10" s="186">
        <v>50000</v>
      </c>
      <c r="D10" s="186"/>
    </row>
    <row r="11" spans="2:4" ht="15">
      <c r="B11" s="99" t="s">
        <v>71</v>
      </c>
      <c r="C11" s="186">
        <v>50000</v>
      </c>
      <c r="D11" s="186"/>
    </row>
    <row r="12" spans="2:4" ht="15">
      <c r="B12" s="99" t="s">
        <v>169</v>
      </c>
      <c r="C12" s="186">
        <v>100000</v>
      </c>
      <c r="D12" s="186"/>
    </row>
    <row r="13" spans="2:4" ht="15">
      <c r="B13" s="99" t="s">
        <v>170</v>
      </c>
      <c r="C13" s="186">
        <v>30000</v>
      </c>
      <c r="D13" s="186"/>
    </row>
    <row r="14" spans="2:4" ht="15">
      <c r="B14" s="99" t="s">
        <v>68</v>
      </c>
      <c r="C14" s="186">
        <v>100000</v>
      </c>
      <c r="D14" s="186"/>
    </row>
    <row r="15" spans="2:4" ht="15">
      <c r="B15" s="99" t="s">
        <v>136</v>
      </c>
      <c r="C15" s="186">
        <v>20000</v>
      </c>
      <c r="D15" s="186"/>
    </row>
    <row r="16" spans="2:4" ht="15">
      <c r="B16" s="99" t="s">
        <v>133</v>
      </c>
      <c r="C16" s="186">
        <v>70000</v>
      </c>
      <c r="D16" s="186"/>
    </row>
    <row r="17" spans="1:7" s="193" customFormat="1" ht="15">
      <c r="A17" s="97"/>
      <c r="B17" s="99" t="s">
        <v>236</v>
      </c>
      <c r="C17" s="186"/>
      <c r="D17" s="186"/>
      <c r="E17" s="97"/>
      <c r="F17" s="97"/>
      <c r="G17" s="97"/>
    </row>
    <row r="18" spans="2:4" ht="15">
      <c r="B18" s="99" t="s">
        <v>235</v>
      </c>
      <c r="C18" s="186">
        <v>200000</v>
      </c>
      <c r="D18" s="186"/>
    </row>
    <row r="19" spans="2:4" ht="15">
      <c r="B19" s="99" t="s">
        <v>165</v>
      </c>
      <c r="C19" s="186">
        <v>250000</v>
      </c>
      <c r="D19" s="186"/>
    </row>
    <row r="20" spans="2:4" ht="15">
      <c r="B20" s="99" t="s">
        <v>166</v>
      </c>
      <c r="C20" s="186">
        <v>60000</v>
      </c>
      <c r="D20" s="186"/>
    </row>
    <row r="21" spans="1:7" s="193" customFormat="1" ht="15">
      <c r="A21" s="97"/>
      <c r="B21" s="319" t="s">
        <v>180</v>
      </c>
      <c r="C21" s="186"/>
      <c r="D21" s="186"/>
      <c r="E21" s="97"/>
      <c r="F21" s="97"/>
      <c r="G21" s="97"/>
    </row>
    <row r="22" spans="2:4" ht="15">
      <c r="B22" s="99" t="s">
        <v>171</v>
      </c>
      <c r="C22" s="186">
        <v>10500</v>
      </c>
      <c r="D22" s="186"/>
    </row>
    <row r="23" spans="2:4" ht="15">
      <c r="B23" s="99" t="s">
        <v>173</v>
      </c>
      <c r="C23" s="186">
        <v>100000</v>
      </c>
      <c r="D23" s="186"/>
    </row>
    <row r="24" spans="2:4" ht="15">
      <c r="B24" s="99" t="s">
        <v>172</v>
      </c>
      <c r="C24" s="186">
        <v>850000</v>
      </c>
      <c r="D24" s="186"/>
    </row>
    <row r="25" spans="2:4" ht="15">
      <c r="B25" s="317" t="s">
        <v>82</v>
      </c>
      <c r="C25" s="187"/>
      <c r="D25" s="188">
        <f>SUM(C9:C24)</f>
        <v>2190500</v>
      </c>
    </row>
    <row r="26" spans="2:4" ht="15">
      <c r="B26" s="99" t="s">
        <v>83</v>
      </c>
      <c r="C26" s="189">
        <f>SUM(C9:C25)</f>
        <v>2190500</v>
      </c>
      <c r="D26" s="189">
        <f>SUM(D9:D25)</f>
        <v>2190500</v>
      </c>
    </row>
    <row r="27" spans="3:4" ht="15">
      <c r="C27" s="190"/>
      <c r="D27" s="190"/>
    </row>
    <row r="28" spans="1:4" ht="15">
      <c r="A28" s="99" t="s">
        <v>178</v>
      </c>
      <c r="B28" s="98"/>
      <c r="C28" s="191"/>
      <c r="D28" s="191"/>
    </row>
    <row r="29" spans="2:4" ht="15">
      <c r="B29" s="319" t="s">
        <v>179</v>
      </c>
      <c r="C29" s="186"/>
      <c r="D29" s="186"/>
    </row>
    <row r="30" spans="1:7" s="193" customFormat="1" ht="15">
      <c r="A30" s="97"/>
      <c r="B30" s="99" t="s">
        <v>237</v>
      </c>
      <c r="C30" s="186">
        <v>200000</v>
      </c>
      <c r="D30" s="186"/>
      <c r="E30" s="97"/>
      <c r="F30" s="97"/>
      <c r="G30" s="97"/>
    </row>
    <row r="31" spans="2:4" ht="15">
      <c r="B31" s="99" t="s">
        <v>164</v>
      </c>
      <c r="C31" s="192">
        <v>200000</v>
      </c>
      <c r="D31" s="186"/>
    </row>
    <row r="32" spans="2:4" ht="15">
      <c r="B32" s="320" t="s">
        <v>180</v>
      </c>
      <c r="C32" s="186"/>
      <c r="D32" s="186"/>
    </row>
    <row r="33" spans="1:7" s="193" customFormat="1" ht="15">
      <c r="A33" s="97"/>
      <c r="B33" s="317" t="s">
        <v>238</v>
      </c>
      <c r="C33" s="186"/>
      <c r="D33" s="186">
        <v>200000</v>
      </c>
      <c r="E33" s="97"/>
      <c r="F33" s="97"/>
      <c r="G33" s="97"/>
    </row>
    <row r="34" spans="2:4" ht="15">
      <c r="B34" s="317" t="s">
        <v>165</v>
      </c>
      <c r="C34" s="186"/>
      <c r="D34" s="186">
        <v>200000</v>
      </c>
    </row>
    <row r="35" spans="2:4" ht="15">
      <c r="B35" s="99" t="s">
        <v>239</v>
      </c>
      <c r="C35" s="189">
        <f>SUM(C29:C34)</f>
        <v>400000</v>
      </c>
      <c r="D35" s="189">
        <f>SUM(D29:D34)</f>
        <v>400000</v>
      </c>
    </row>
    <row r="36" spans="3:4" ht="15">
      <c r="C36" s="191"/>
      <c r="D36" s="191"/>
    </row>
    <row r="37" spans="3:4" ht="15" hidden="1">
      <c r="C37" s="191"/>
      <c r="D37" s="191"/>
    </row>
    <row r="38" spans="1:7" s="193" customFormat="1" ht="1.5" customHeight="1">
      <c r="A38" s="97"/>
      <c r="B38" s="97"/>
      <c r="C38" s="191"/>
      <c r="D38" s="191"/>
      <c r="E38" s="97"/>
      <c r="F38" s="97"/>
      <c r="G38" s="97"/>
    </row>
    <row r="39" spans="3:4" ht="15" hidden="1">
      <c r="C39" s="191"/>
      <c r="D39" s="191"/>
    </row>
    <row r="40" spans="1:4" ht="15">
      <c r="A40" s="99" t="s">
        <v>181</v>
      </c>
      <c r="B40" s="98"/>
      <c r="C40" s="191"/>
      <c r="D40" s="191"/>
    </row>
    <row r="41" spans="2:4" ht="15">
      <c r="B41" s="319" t="s">
        <v>179</v>
      </c>
      <c r="C41" s="186"/>
      <c r="D41" s="186"/>
    </row>
    <row r="42" spans="2:4" ht="15">
      <c r="B42" s="99" t="s">
        <v>196</v>
      </c>
      <c r="C42" s="186"/>
      <c r="D42" s="186"/>
    </row>
    <row r="43" spans="2:4" ht="15">
      <c r="B43" s="99" t="s">
        <v>194</v>
      </c>
      <c r="C43" s="186">
        <v>80000</v>
      </c>
      <c r="D43" s="186"/>
    </row>
    <row r="44" spans="2:4" ht="15" hidden="1">
      <c r="B44" s="99" t="s">
        <v>197</v>
      </c>
      <c r="C44" s="186"/>
      <c r="D44" s="186"/>
    </row>
    <row r="45" spans="2:4" ht="15">
      <c r="B45" s="99" t="s">
        <v>195</v>
      </c>
      <c r="C45" s="186">
        <v>60000</v>
      </c>
      <c r="D45" s="186"/>
    </row>
    <row r="46" spans="2:4" ht="15">
      <c r="B46" s="317" t="s">
        <v>191</v>
      </c>
      <c r="C46" s="186"/>
      <c r="D46" s="186">
        <f>C43+C45</f>
        <v>140000</v>
      </c>
    </row>
    <row r="47" spans="2:4" ht="15">
      <c r="B47" s="99" t="s">
        <v>192</v>
      </c>
      <c r="C47" s="189">
        <f>SUM(C41:C46)</f>
        <v>140000</v>
      </c>
      <c r="D47" s="189">
        <f>SUM(D41:D46)</f>
        <v>140000</v>
      </c>
    </row>
    <row r="48" spans="3:4" ht="15">
      <c r="C48" s="191"/>
      <c r="D48" s="191"/>
    </row>
    <row r="49" spans="1:7" s="193" customFormat="1" ht="15">
      <c r="A49" s="97"/>
      <c r="B49" s="97"/>
      <c r="C49" s="191"/>
      <c r="D49" s="191"/>
      <c r="E49" s="97"/>
      <c r="F49" s="97"/>
      <c r="G49" s="97"/>
    </row>
    <row r="50" spans="1:7" s="193" customFormat="1" ht="15">
      <c r="A50" s="97"/>
      <c r="B50" s="97"/>
      <c r="C50" s="191"/>
      <c r="D50" s="191"/>
      <c r="E50" s="97"/>
      <c r="F50" s="97"/>
      <c r="G50" s="97"/>
    </row>
    <row r="51" spans="1:7" s="193" customFormat="1" ht="15">
      <c r="A51" s="97"/>
      <c r="B51" s="97"/>
      <c r="C51" s="191"/>
      <c r="D51" s="191"/>
      <c r="E51" s="97"/>
      <c r="F51" s="97"/>
      <c r="G51" s="97"/>
    </row>
    <row r="52" spans="1:7" s="193" customFormat="1" ht="15">
      <c r="A52" s="97"/>
      <c r="B52" s="97"/>
      <c r="C52" s="191"/>
      <c r="D52" s="191"/>
      <c r="E52" s="97"/>
      <c r="F52" s="97"/>
      <c r="G52" s="97"/>
    </row>
    <row r="53" spans="1:7" s="193" customFormat="1" ht="15">
      <c r="A53" s="97"/>
      <c r="B53" s="97"/>
      <c r="C53" s="191"/>
      <c r="D53" s="191"/>
      <c r="E53" s="97"/>
      <c r="F53" s="97"/>
      <c r="G53" s="97"/>
    </row>
    <row r="54" spans="1:7" s="193" customFormat="1" ht="15">
      <c r="A54" s="97"/>
      <c r="B54" s="97"/>
      <c r="C54" s="191"/>
      <c r="D54" s="191"/>
      <c r="E54" s="97"/>
      <c r="F54" s="97"/>
      <c r="G54" s="97"/>
    </row>
    <row r="55" spans="1:7" s="193" customFormat="1" ht="15">
      <c r="A55" s="97"/>
      <c r="B55" s="97"/>
      <c r="C55" s="191"/>
      <c r="D55" s="191"/>
      <c r="E55" s="97"/>
      <c r="F55" s="97"/>
      <c r="G55" s="97"/>
    </row>
    <row r="56" spans="1:7" s="193" customFormat="1" ht="15">
      <c r="A56" s="97"/>
      <c r="B56" s="97"/>
      <c r="C56" s="191"/>
      <c r="D56" s="191"/>
      <c r="E56" s="97"/>
      <c r="F56" s="97"/>
      <c r="G56" s="97"/>
    </row>
    <row r="57" spans="1:4" ht="13.5" customHeight="1">
      <c r="A57" s="99" t="s">
        <v>193</v>
      </c>
      <c r="B57" s="98"/>
      <c r="C57" s="191"/>
      <c r="D57" s="191"/>
    </row>
    <row r="58" spans="2:4" ht="13.5" customHeight="1">
      <c r="B58" s="319" t="s">
        <v>182</v>
      </c>
      <c r="C58" s="186"/>
      <c r="D58" s="186"/>
    </row>
    <row r="59" spans="2:4" ht="13.5" customHeight="1">
      <c r="B59" s="99" t="s">
        <v>183</v>
      </c>
      <c r="C59" s="186">
        <f>'HOJA TECNICA'!C38</f>
        <v>544702.8733333333</v>
      </c>
      <c r="D59" s="186"/>
    </row>
    <row r="60" spans="2:4" ht="13.5" customHeight="1">
      <c r="B60" s="99" t="s">
        <v>184</v>
      </c>
      <c r="C60" s="186">
        <f>'HOJA TECNICA'!B38</f>
        <v>475806.3733333333</v>
      </c>
      <c r="D60" s="186"/>
    </row>
    <row r="61" spans="2:4" ht="13.5" customHeight="1">
      <c r="B61" s="99" t="s">
        <v>185</v>
      </c>
      <c r="C61" s="186">
        <f>'HOJA TECNICA'!G38</f>
        <v>610182.04</v>
      </c>
      <c r="D61" s="186"/>
    </row>
    <row r="62" spans="2:4" ht="13.5" customHeight="1">
      <c r="B62" s="99" t="s">
        <v>186</v>
      </c>
      <c r="C62" s="186">
        <v>16000</v>
      </c>
      <c r="D62" s="186"/>
    </row>
    <row r="63" spans="2:4" ht="13.5" customHeight="1">
      <c r="B63" s="99" t="s">
        <v>187</v>
      </c>
      <c r="C63" s="186">
        <f>'HOJA TECNICA'!I36</f>
        <v>18695.1</v>
      </c>
      <c r="D63" s="186"/>
    </row>
    <row r="64" spans="2:4" ht="13.5" customHeight="1">
      <c r="B64" s="99" t="s">
        <v>240</v>
      </c>
      <c r="C64" s="186">
        <v>480</v>
      </c>
      <c r="D64" s="186"/>
    </row>
    <row r="65" spans="2:4" ht="13.5" customHeight="1">
      <c r="B65" s="317" t="s">
        <v>241</v>
      </c>
      <c r="C65" s="186"/>
      <c r="D65" s="186">
        <v>480</v>
      </c>
    </row>
    <row r="66" spans="2:4" ht="13.5" customHeight="1">
      <c r="B66" s="317" t="s">
        <v>242</v>
      </c>
      <c r="C66" s="186"/>
      <c r="D66" s="186">
        <v>200</v>
      </c>
    </row>
    <row r="67" spans="2:4" ht="13.5" customHeight="1">
      <c r="B67" s="317" t="s">
        <v>189</v>
      </c>
      <c r="C67" s="186"/>
      <c r="D67" s="186">
        <f>'HOJA TECNICA'!M34</f>
        <v>146582.66666666666</v>
      </c>
    </row>
    <row r="68" spans="2:4" ht="13.5" customHeight="1">
      <c r="B68" s="317" t="s">
        <v>190</v>
      </c>
      <c r="C68" s="186"/>
      <c r="D68" s="186">
        <v>60000</v>
      </c>
    </row>
    <row r="69" spans="2:4" ht="13.5" customHeight="1">
      <c r="B69" s="317" t="s">
        <v>191</v>
      </c>
      <c r="C69" s="186"/>
      <c r="D69" s="186">
        <f>'HOJA TECNICA'!L38-200</f>
        <v>1458603.72</v>
      </c>
    </row>
    <row r="70" spans="2:4" ht="13.5" customHeight="1">
      <c r="B70" s="99" t="s">
        <v>192</v>
      </c>
      <c r="C70" s="189">
        <f>SUM(C58:C69)</f>
        <v>1665866.3866666667</v>
      </c>
      <c r="D70" s="189">
        <f>SUM(D58:D69)</f>
        <v>1665866.3866666667</v>
      </c>
    </row>
    <row r="71" spans="1:7" s="193" customFormat="1" ht="13.5" customHeight="1">
      <c r="A71" s="97"/>
      <c r="B71" s="99"/>
      <c r="C71" s="198"/>
      <c r="D71" s="198"/>
      <c r="E71" s="97"/>
      <c r="F71" s="97"/>
      <c r="G71" s="97"/>
    </row>
    <row r="72" spans="1:4" ht="13.5" customHeight="1">
      <c r="A72" s="99" t="s">
        <v>198</v>
      </c>
      <c r="B72" s="98"/>
      <c r="C72" s="191"/>
      <c r="D72" s="191"/>
    </row>
    <row r="73" spans="2:4" ht="13.5" customHeight="1">
      <c r="B73" s="99" t="s">
        <v>199</v>
      </c>
      <c r="C73" s="186">
        <v>13000</v>
      </c>
      <c r="D73" s="186"/>
    </row>
    <row r="74" spans="2:4" ht="13.5" customHeight="1">
      <c r="B74" s="99" t="s">
        <v>200</v>
      </c>
      <c r="C74" s="186">
        <v>12000</v>
      </c>
      <c r="D74" s="186"/>
    </row>
    <row r="75" spans="2:4" ht="13.5" customHeight="1">
      <c r="B75" s="317" t="s">
        <v>191</v>
      </c>
      <c r="C75" s="186"/>
      <c r="D75" s="186">
        <f>C73+C74</f>
        <v>25000</v>
      </c>
    </row>
    <row r="76" spans="2:4" ht="13.5" customHeight="1">
      <c r="B76" s="99" t="s">
        <v>243</v>
      </c>
      <c r="C76" s="189">
        <f>SUM(C73:C75)</f>
        <v>25000</v>
      </c>
      <c r="D76" s="189">
        <f>SUM(D73:D75)</f>
        <v>25000</v>
      </c>
    </row>
    <row r="77" spans="3:4" ht="13.5" customHeight="1">
      <c r="C77" s="191"/>
      <c r="D77" s="191"/>
    </row>
    <row r="78" spans="1:7" s="193" customFormat="1" ht="13.5" customHeight="1">
      <c r="A78" s="99" t="s">
        <v>207</v>
      </c>
      <c r="B78" s="98"/>
      <c r="C78" s="191"/>
      <c r="D78" s="191"/>
      <c r="E78" s="97"/>
      <c r="F78" s="97"/>
      <c r="G78" s="97"/>
    </row>
    <row r="79" spans="1:7" s="193" customFormat="1" ht="13.5" customHeight="1">
      <c r="A79" s="97"/>
      <c r="B79" s="99" t="s">
        <v>191</v>
      </c>
      <c r="C79" s="186">
        <v>200000</v>
      </c>
      <c r="D79" s="186"/>
      <c r="E79" s="97"/>
      <c r="F79" s="97"/>
      <c r="G79" s="97"/>
    </row>
    <row r="80" spans="1:7" s="193" customFormat="1" ht="13.5" customHeight="1">
      <c r="A80" s="97"/>
      <c r="B80" s="317" t="s">
        <v>245</v>
      </c>
      <c r="C80" s="186"/>
      <c r="D80" s="186">
        <v>200000</v>
      </c>
      <c r="E80" s="97"/>
      <c r="F80" s="97"/>
      <c r="G80" s="97"/>
    </row>
    <row r="81" spans="1:7" s="193" customFormat="1" ht="13.5" customHeight="1">
      <c r="A81" s="97"/>
      <c r="B81" s="99" t="s">
        <v>244</v>
      </c>
      <c r="C81" s="189">
        <f>SUM(C79:C80)</f>
        <v>200000</v>
      </c>
      <c r="D81" s="189">
        <f>SUM(D79:D80)</f>
        <v>200000</v>
      </c>
      <c r="E81" s="97"/>
      <c r="F81" s="97"/>
      <c r="G81" s="97"/>
    </row>
    <row r="82" spans="1:7" s="193" customFormat="1" ht="13.5" customHeight="1">
      <c r="A82" s="97"/>
      <c r="B82" s="99"/>
      <c r="C82" s="198"/>
      <c r="D82" s="198"/>
      <c r="E82" s="97"/>
      <c r="F82" s="97"/>
      <c r="G82" s="97"/>
    </row>
    <row r="83" spans="1:7" s="193" customFormat="1" ht="13.5" customHeight="1">
      <c r="A83" s="99" t="s">
        <v>210</v>
      </c>
      <c r="B83" s="98"/>
      <c r="C83" s="191"/>
      <c r="D83" s="191"/>
      <c r="E83" s="97"/>
      <c r="F83" s="97"/>
      <c r="G83" s="97"/>
    </row>
    <row r="84" spans="1:7" s="193" customFormat="1" ht="13.5" customHeight="1">
      <c r="A84" s="97"/>
      <c r="B84" s="99" t="s">
        <v>191</v>
      </c>
      <c r="C84" s="186">
        <f>(D87+D88+D89)-C85</f>
        <v>2261612.7466666666</v>
      </c>
      <c r="D84" s="186"/>
      <c r="E84" s="97"/>
      <c r="F84" s="97"/>
      <c r="G84" s="97"/>
    </row>
    <row r="85" spans="1:7" s="193" customFormat="1" ht="13.5" customHeight="1">
      <c r="A85" s="97"/>
      <c r="B85" s="99" t="s">
        <v>208</v>
      </c>
      <c r="C85" s="186">
        <v>200000</v>
      </c>
      <c r="D85" s="186"/>
      <c r="E85" s="97"/>
      <c r="F85" s="97"/>
      <c r="G85" s="97"/>
    </row>
    <row r="86" spans="1:7" s="193" customFormat="1" ht="13.5" customHeight="1">
      <c r="A86" s="97"/>
      <c r="B86" s="99" t="s">
        <v>209</v>
      </c>
      <c r="C86" s="186"/>
      <c r="D86" s="186"/>
      <c r="E86" s="97"/>
      <c r="F86" s="97"/>
      <c r="G86" s="97"/>
    </row>
    <row r="87" spans="1:7" s="193" customFormat="1" ht="13.5" customHeight="1">
      <c r="A87" s="97"/>
      <c r="B87" s="317" t="s">
        <v>183</v>
      </c>
      <c r="C87" s="186"/>
      <c r="D87" s="186">
        <f>'HOJA TECNICA'!J70</f>
        <v>990000</v>
      </c>
      <c r="E87" s="97"/>
      <c r="F87" s="97"/>
      <c r="G87" s="97"/>
    </row>
    <row r="88" spans="1:7" s="193" customFormat="1" ht="13.5" customHeight="1">
      <c r="A88" s="97"/>
      <c r="B88" s="317" t="s">
        <v>184</v>
      </c>
      <c r="C88" s="186"/>
      <c r="D88" s="186">
        <f>'HOJA TECNICA'!I49</f>
        <v>951612.7466666666</v>
      </c>
      <c r="E88" s="97"/>
      <c r="F88" s="97"/>
      <c r="G88" s="97"/>
    </row>
    <row r="89" spans="1:7" s="193" customFormat="1" ht="13.5" customHeight="1">
      <c r="A89" s="97"/>
      <c r="B89" s="317" t="s">
        <v>185</v>
      </c>
      <c r="C89" s="186"/>
      <c r="D89" s="186">
        <f>'HOJA TECNICA'!I50</f>
        <v>520000</v>
      </c>
      <c r="E89" s="97"/>
      <c r="F89" s="97"/>
      <c r="G89" s="97"/>
    </row>
    <row r="90" spans="1:7" s="193" customFormat="1" ht="13.5" customHeight="1">
      <c r="A90" s="97"/>
      <c r="B90" s="99" t="s">
        <v>215</v>
      </c>
      <c r="C90" s="189">
        <f>SUM(C84:C89)</f>
        <v>2461612.7466666666</v>
      </c>
      <c r="D90" s="189">
        <f>SUM(D84:D89)</f>
        <v>2461612.7466666666</v>
      </c>
      <c r="E90" s="97"/>
      <c r="F90" s="97"/>
      <c r="G90" s="97"/>
    </row>
    <row r="91" spans="3:4" ht="13.5" customHeight="1">
      <c r="C91" s="191"/>
      <c r="D91" s="191"/>
    </row>
    <row r="92" spans="3:4" ht="13.5" customHeight="1">
      <c r="C92" s="191"/>
      <c r="D92" s="191"/>
    </row>
    <row r="93" spans="1:7" s="193" customFormat="1" ht="13.5" customHeight="1">
      <c r="A93" s="99" t="s">
        <v>210</v>
      </c>
      <c r="B93" s="98"/>
      <c r="C93" s="191"/>
      <c r="D93" s="191"/>
      <c r="E93" s="97"/>
      <c r="F93" s="97"/>
      <c r="G93" s="97"/>
    </row>
    <row r="94" spans="1:7" s="193" customFormat="1" ht="13.5" customHeight="1">
      <c r="A94" s="97"/>
      <c r="B94" s="319" t="s">
        <v>211</v>
      </c>
      <c r="C94" s="186"/>
      <c r="D94" s="186"/>
      <c r="E94" s="97"/>
      <c r="F94" s="97"/>
      <c r="G94" s="97"/>
    </row>
    <row r="95" spans="1:7" s="193" customFormat="1" ht="13.5" customHeight="1">
      <c r="A95" s="97"/>
      <c r="B95" s="99" t="s">
        <v>231</v>
      </c>
      <c r="C95" s="186">
        <f>'HOJA TECNICA'!J69</f>
        <v>499682.7</v>
      </c>
      <c r="D95" s="186"/>
      <c r="E95" s="97"/>
      <c r="F95" s="97"/>
      <c r="G95" s="97"/>
    </row>
    <row r="96" spans="1:7" s="193" customFormat="1" ht="13.5" customHeight="1">
      <c r="A96" s="97"/>
      <c r="B96" s="99" t="s">
        <v>212</v>
      </c>
      <c r="C96" s="186">
        <f>'HOJA TECNICA'!G49</f>
        <v>475806.3733333333</v>
      </c>
      <c r="D96" s="186"/>
      <c r="E96" s="97"/>
      <c r="F96" s="97"/>
      <c r="G96" s="97"/>
    </row>
    <row r="97" spans="1:7" s="193" customFormat="1" ht="13.5" customHeight="1">
      <c r="A97" s="97"/>
      <c r="B97" s="99" t="s">
        <v>213</v>
      </c>
      <c r="C97" s="186">
        <f>'HOJA TECNICA'!G50</f>
        <v>610182.04</v>
      </c>
      <c r="D97" s="186"/>
      <c r="E97" s="97"/>
      <c r="F97" s="97"/>
      <c r="G97" s="97"/>
    </row>
    <row r="98" spans="1:7" s="193" customFormat="1" ht="13.5" customHeight="1">
      <c r="A98" s="97"/>
      <c r="B98" s="99" t="s">
        <v>246</v>
      </c>
      <c r="C98" s="186">
        <f>'HOJA TECNICA'!C73</f>
        <v>55520.29999999999</v>
      </c>
      <c r="D98" s="186"/>
      <c r="E98" s="97"/>
      <c r="F98" s="97"/>
      <c r="G98" s="97"/>
    </row>
    <row r="99" spans="1:7" s="193" customFormat="1" ht="13.5" customHeight="1">
      <c r="A99" s="97"/>
      <c r="B99" s="99" t="s">
        <v>214</v>
      </c>
      <c r="C99" s="186"/>
      <c r="D99" s="186"/>
      <c r="E99" s="97"/>
      <c r="F99" s="97"/>
      <c r="G99" s="97"/>
    </row>
    <row r="100" spans="1:7" s="193" customFormat="1" ht="13.5" customHeight="1">
      <c r="A100" s="97"/>
      <c r="B100" s="317" t="s">
        <v>231</v>
      </c>
      <c r="C100" s="191"/>
      <c r="D100" s="186">
        <f>'HOJA TECNICA'!C70</f>
        <v>555203</v>
      </c>
      <c r="E100" s="97"/>
      <c r="F100" s="97"/>
      <c r="G100" s="97"/>
    </row>
    <row r="101" spans="2:4" ht="13.5" customHeight="1">
      <c r="B101" s="317" t="s">
        <v>212</v>
      </c>
      <c r="C101" s="191"/>
      <c r="D101" s="186">
        <f>C96</f>
        <v>475806.3733333333</v>
      </c>
    </row>
    <row r="102" spans="2:4" ht="13.5" customHeight="1">
      <c r="B102" s="317" t="s">
        <v>213</v>
      </c>
      <c r="C102" s="191"/>
      <c r="D102" s="186">
        <f>C97</f>
        <v>610182.04</v>
      </c>
    </row>
    <row r="103" spans="2:4" ht="13.5" customHeight="1">
      <c r="B103" s="318" t="s">
        <v>216</v>
      </c>
      <c r="C103" s="189">
        <f>SUM(C95:C102)</f>
        <v>1641191.4133333333</v>
      </c>
      <c r="D103" s="189">
        <f>SUM(D100:D102)</f>
        <v>1641191.4133333333</v>
      </c>
    </row>
    <row r="104" spans="3:4" ht="13.5" customHeight="1">
      <c r="C104" s="191"/>
      <c r="D104" s="191"/>
    </row>
    <row r="105" spans="3:4" ht="13.5" customHeight="1">
      <c r="C105" s="191"/>
      <c r="D105" s="191"/>
    </row>
    <row r="106" spans="1:7" s="193" customFormat="1" ht="13.5" customHeight="1">
      <c r="A106" s="99" t="s">
        <v>217</v>
      </c>
      <c r="B106" s="98"/>
      <c r="C106" s="191"/>
      <c r="D106" s="191"/>
      <c r="E106" s="97"/>
      <c r="F106" s="97"/>
      <c r="G106" s="97"/>
    </row>
    <row r="107" spans="1:7" s="193" customFormat="1" ht="13.5" customHeight="1">
      <c r="A107" s="97"/>
      <c r="B107" s="319" t="s">
        <v>180</v>
      </c>
      <c r="C107" s="186"/>
      <c r="D107" s="186"/>
      <c r="E107" s="97"/>
      <c r="F107" s="97"/>
      <c r="G107" s="97"/>
    </row>
    <row r="108" spans="1:7" s="193" customFormat="1" ht="13.5" customHeight="1">
      <c r="A108" s="97"/>
      <c r="B108" s="99" t="s">
        <v>218</v>
      </c>
      <c r="C108" s="186">
        <f>'HOJA TECNICA'!F38</f>
        <v>54470.28733333333</v>
      </c>
      <c r="D108" s="186"/>
      <c r="E108" s="97"/>
      <c r="F108" s="97"/>
      <c r="G108" s="97"/>
    </row>
    <row r="109" spans="1:7" s="193" customFormat="1" ht="13.5" customHeight="1">
      <c r="A109" s="97"/>
      <c r="B109" s="317" t="s">
        <v>191</v>
      </c>
      <c r="C109" s="186"/>
      <c r="D109" s="186">
        <f>C107+C108</f>
        <v>54470.28733333333</v>
      </c>
      <c r="E109" s="97"/>
      <c r="F109" s="97"/>
      <c r="G109" s="97"/>
    </row>
    <row r="110" spans="1:7" s="193" customFormat="1" ht="13.5" customHeight="1">
      <c r="A110" s="97"/>
      <c r="B110" s="99" t="s">
        <v>192</v>
      </c>
      <c r="C110" s="189">
        <f>SUM(C107:C109)</f>
        <v>54470.28733333333</v>
      </c>
      <c r="D110" s="189">
        <f>SUM(D107:D109)</f>
        <v>54470.28733333333</v>
      </c>
      <c r="E110" s="97"/>
      <c r="F110" s="97"/>
      <c r="G110" s="97"/>
    </row>
    <row r="111" spans="3:4" ht="13.5" customHeight="1">
      <c r="C111" s="191"/>
      <c r="D111" s="191"/>
    </row>
    <row r="112" spans="3:4" ht="15">
      <c r="C112" s="191"/>
      <c r="D112" s="191"/>
    </row>
    <row r="113" spans="3:4" ht="15">
      <c r="C113" s="191"/>
      <c r="D113" s="191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5" width="11.421875" style="321" customWidth="1"/>
    <col min="6" max="6" width="14.421875" style="321" bestFit="1" customWidth="1"/>
    <col min="7" max="16384" width="11.421875" style="321" customWidth="1"/>
  </cols>
  <sheetData>
    <row r="1" spans="2:6" ht="15">
      <c r="B1" s="322" t="s">
        <v>229</v>
      </c>
      <c r="C1" s="322"/>
      <c r="D1" s="322"/>
      <c r="E1" s="322"/>
      <c r="F1" s="322"/>
    </row>
    <row r="2" spans="1:7" ht="15">
      <c r="A2" s="199"/>
      <c r="B2" s="324" t="s">
        <v>230</v>
      </c>
      <c r="C2" s="324"/>
      <c r="D2" s="324"/>
      <c r="E2" s="324"/>
      <c r="F2" s="324"/>
      <c r="G2" s="199"/>
    </row>
    <row r="3" spans="1:7" ht="15">
      <c r="A3" s="199"/>
      <c r="B3" s="325" t="s">
        <v>80</v>
      </c>
      <c r="C3" s="325"/>
      <c r="D3" s="325"/>
      <c r="E3" s="325"/>
      <c r="F3" s="325"/>
      <c r="G3" s="199"/>
    </row>
    <row r="4" spans="1:7" ht="15">
      <c r="A4" s="199"/>
      <c r="B4" s="199"/>
      <c r="C4" s="199"/>
      <c r="D4" s="199"/>
      <c r="E4" s="199"/>
      <c r="F4" s="199"/>
      <c r="G4" s="199"/>
    </row>
    <row r="5" spans="1:7" ht="15.75">
      <c r="A5" s="199"/>
      <c r="B5" s="326" t="s">
        <v>18</v>
      </c>
      <c r="C5" s="199"/>
      <c r="D5" s="199"/>
      <c r="E5" s="200"/>
      <c r="F5" s="327">
        <f>E6+E7+E8</f>
        <v>2461612.7466666666</v>
      </c>
      <c r="G5" s="199"/>
    </row>
    <row r="6" spans="1:7" ht="15.75">
      <c r="A6" s="199"/>
      <c r="B6" s="328" t="s">
        <v>231</v>
      </c>
      <c r="C6" s="199"/>
      <c r="D6" s="199"/>
      <c r="E6" s="200">
        <f>Partidas!D87</f>
        <v>990000</v>
      </c>
      <c r="F6" s="327"/>
      <c r="G6" s="199"/>
    </row>
    <row r="7" spans="1:7" ht="15.75">
      <c r="A7" s="199"/>
      <c r="B7" s="328" t="s">
        <v>212</v>
      </c>
      <c r="C7" s="199"/>
      <c r="D7" s="199"/>
      <c r="E7" s="200">
        <f>Partidas!D88</f>
        <v>951612.7466666666</v>
      </c>
      <c r="F7" s="327"/>
      <c r="G7" s="199"/>
    </row>
    <row r="8" spans="1:7" ht="15.75">
      <c r="A8" s="199"/>
      <c r="B8" s="328" t="s">
        <v>213</v>
      </c>
      <c r="C8" s="199"/>
      <c r="D8" s="199"/>
      <c r="E8" s="327">
        <f>Partidas!D89</f>
        <v>520000</v>
      </c>
      <c r="F8" s="200"/>
      <c r="G8" s="199"/>
    </row>
    <row r="9" spans="1:7" ht="15.75">
      <c r="A9" s="328" t="s">
        <v>219</v>
      </c>
      <c r="B9" s="326" t="s">
        <v>220</v>
      </c>
      <c r="C9" s="199"/>
      <c r="D9" s="199"/>
      <c r="E9" s="201"/>
      <c r="F9" s="327">
        <f>SUM(E10:E12)</f>
        <v>1585671.1133333333</v>
      </c>
      <c r="G9" s="199"/>
    </row>
    <row r="10" spans="1:7" ht="15.75">
      <c r="A10" s="199"/>
      <c r="B10" s="328" t="s">
        <v>231</v>
      </c>
      <c r="C10" s="199"/>
      <c r="D10" s="199"/>
      <c r="E10" s="340">
        <f>Partidas!C95</f>
        <v>499682.7</v>
      </c>
      <c r="F10" s="327"/>
      <c r="G10" s="199"/>
    </row>
    <row r="11" spans="1:7" ht="15.75">
      <c r="A11" s="199"/>
      <c r="B11" s="328" t="s">
        <v>212</v>
      </c>
      <c r="C11" s="199"/>
      <c r="D11" s="199"/>
      <c r="E11" s="200">
        <f>Partidas!C96</f>
        <v>475806.3733333333</v>
      </c>
      <c r="F11" s="327"/>
      <c r="G11" s="199"/>
    </row>
    <row r="12" spans="1:7" ht="15.75">
      <c r="A12" s="199"/>
      <c r="B12" s="328" t="str">
        <f>B8</f>
        <v>Tomate</v>
      </c>
      <c r="C12" s="199"/>
      <c r="D12" s="199"/>
      <c r="E12" s="200">
        <f>Partidas!C97</f>
        <v>610182.04</v>
      </c>
      <c r="F12" s="327"/>
      <c r="G12" s="199"/>
    </row>
    <row r="13" spans="1:7" ht="15.75">
      <c r="A13" s="199"/>
      <c r="B13" s="336" t="s">
        <v>221</v>
      </c>
      <c r="C13" s="336"/>
      <c r="D13" s="336"/>
      <c r="E13" s="201"/>
      <c r="F13" s="338">
        <f>F5-F9</f>
        <v>875941.6333333333</v>
      </c>
      <c r="G13" s="199"/>
    </row>
    <row r="14" spans="1:7" ht="15.75">
      <c r="A14" s="328" t="s">
        <v>219</v>
      </c>
      <c r="B14" s="326" t="s">
        <v>222</v>
      </c>
      <c r="C14" s="199"/>
      <c r="D14" s="199"/>
      <c r="E14" s="200"/>
      <c r="F14" s="200"/>
      <c r="G14" s="199"/>
    </row>
    <row r="15" spans="1:7" ht="15.75">
      <c r="A15" s="199"/>
      <c r="B15" s="328" t="s">
        <v>223</v>
      </c>
      <c r="C15" s="199"/>
      <c r="D15" s="199"/>
      <c r="E15" s="200"/>
      <c r="F15" s="329">
        <f>Partidas!C73</f>
        <v>13000</v>
      </c>
      <c r="G15" s="199"/>
    </row>
    <row r="16" spans="1:7" ht="15.75">
      <c r="A16" s="199"/>
      <c r="B16" s="328" t="s">
        <v>232</v>
      </c>
      <c r="C16" s="199"/>
      <c r="D16" s="199"/>
      <c r="E16" s="200"/>
      <c r="F16" s="329">
        <f>Partidas!C74</f>
        <v>12000</v>
      </c>
      <c r="G16" s="199"/>
    </row>
    <row r="17" spans="1:7" ht="15.75">
      <c r="A17" s="199"/>
      <c r="B17" s="336" t="s">
        <v>224</v>
      </c>
      <c r="C17" s="336"/>
      <c r="D17" s="336"/>
      <c r="E17" s="200"/>
      <c r="F17" s="330">
        <f>F13-F15-F16</f>
        <v>850941.6333333333</v>
      </c>
      <c r="G17" s="199"/>
    </row>
    <row r="18" spans="1:7" ht="15.75">
      <c r="A18" s="199"/>
      <c r="B18" s="199"/>
      <c r="C18" s="199"/>
      <c r="D18" s="199"/>
      <c r="E18" s="200"/>
      <c r="F18" s="202"/>
      <c r="G18" s="199"/>
    </row>
    <row r="19" spans="1:7" ht="15.75">
      <c r="A19" s="331" t="s">
        <v>225</v>
      </c>
      <c r="B19" s="331" t="s">
        <v>226</v>
      </c>
      <c r="C19" s="332"/>
      <c r="D19" s="333"/>
      <c r="E19" s="334"/>
      <c r="F19" s="200">
        <f>F17*31/100</f>
        <v>263791.90633333335</v>
      </c>
      <c r="G19" s="199"/>
    </row>
    <row r="20" spans="1:7" ht="15.75">
      <c r="A20" s="331" t="s">
        <v>225</v>
      </c>
      <c r="B20" s="331" t="s">
        <v>227</v>
      </c>
      <c r="C20" s="332"/>
      <c r="D20" s="333"/>
      <c r="E20" s="334"/>
      <c r="F20" s="335">
        <f>(F17-F19)*5/100</f>
        <v>29357.48635</v>
      </c>
      <c r="G20" s="199"/>
    </row>
    <row r="21" spans="3:7" ht="15.75">
      <c r="C21" s="332"/>
      <c r="D21" s="333"/>
      <c r="E21" s="334"/>
      <c r="F21" s="200"/>
      <c r="G21" s="199"/>
    </row>
    <row r="22" spans="2:7" ht="16.5" thickBot="1">
      <c r="B22" s="337" t="s">
        <v>228</v>
      </c>
      <c r="C22" s="337"/>
      <c r="D22" s="337"/>
      <c r="E22" s="334"/>
      <c r="F22" s="339">
        <f>F17-F19-F20</f>
        <v>557792.2406499999</v>
      </c>
      <c r="G22" s="199"/>
    </row>
    <row r="23" spans="5:6" ht="15.75" thickTop="1">
      <c r="E23" s="323"/>
      <c r="F23" s="323"/>
    </row>
  </sheetData>
  <sheetProtection/>
  <mergeCells count="6">
    <mergeCell ref="B2:F2"/>
    <mergeCell ref="B3:F3"/>
    <mergeCell ref="B22:D22"/>
    <mergeCell ref="B1:F1"/>
    <mergeCell ref="B13:D13"/>
    <mergeCell ref="B17:D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Emilio</dc:creator>
  <cp:keywords/>
  <dc:description/>
  <cp:lastModifiedBy>Usuario</cp:lastModifiedBy>
  <cp:lastPrinted>2014-01-25T05:49:06Z</cp:lastPrinted>
  <dcterms:created xsi:type="dcterms:W3CDTF">2010-01-18T04:22:53Z</dcterms:created>
  <dcterms:modified xsi:type="dcterms:W3CDTF">2014-01-25T05:50:03Z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