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7740" activeTab="3"/>
  </bookViews>
  <sheets>
    <sheet name="Laboratorio No.1" sheetId="1" r:id="rId1"/>
    <sheet name="Laboratorio No.2" sheetId="2" r:id="rId2"/>
    <sheet name="Laboratorio No.3" sheetId="3" r:id="rId3"/>
    <sheet name="Laboratorio No.4" sheetId="4" r:id="rId4"/>
  </sheets>
  <definedNames/>
  <calcPr fullCalcOnLoad="1"/>
</workbook>
</file>

<file path=xl/sharedStrings.xml><?xml version="1.0" encoding="utf-8"?>
<sst xmlns="http://schemas.openxmlformats.org/spreadsheetml/2006/main" count="283" uniqueCount="106">
  <si>
    <t>LABORATORIO No. 2</t>
  </si>
  <si>
    <t>PROYECTOS EXITOSOS, S. A.</t>
  </si>
  <si>
    <t>FLUJO NETO DE FONDOS DEL INVERSIONISTA</t>
  </si>
  <si>
    <t>(CIFRAS EN QUETZALES)</t>
  </si>
  <si>
    <t>Ventas</t>
  </si>
  <si>
    <t>Costos variables</t>
  </si>
  <si>
    <t>Gastos Fijos</t>
  </si>
  <si>
    <t>Depreciaciones</t>
  </si>
  <si>
    <t>Amortizaciones</t>
  </si>
  <si>
    <t>Intereses s/prestamos</t>
  </si>
  <si>
    <t>Utilidad bruta</t>
  </si>
  <si>
    <t>Impuesto sobre la renta</t>
  </si>
  <si>
    <t>Utilidad neta</t>
  </si>
  <si>
    <t>Terrenos</t>
  </si>
  <si>
    <t>Edificios</t>
  </si>
  <si>
    <t>Activos Fijos</t>
  </si>
  <si>
    <t>Capital de trabajo</t>
  </si>
  <si>
    <t>Inversiones Diferidas</t>
  </si>
  <si>
    <t>Valor recuperable Terrenos</t>
  </si>
  <si>
    <t>Valor recuperable Ac. Fijos</t>
  </si>
  <si>
    <t>Prestamo</t>
  </si>
  <si>
    <t>Amortizacion prestamo</t>
  </si>
  <si>
    <t>Flujo neto de fondos</t>
  </si>
  <si>
    <t>Flujo neto de fondos actualizado</t>
  </si>
  <si>
    <t>Tasa de oportunidad</t>
  </si>
  <si>
    <t>Van</t>
  </si>
  <si>
    <t>RELACION BENEFICIO/COSTO</t>
  </si>
  <si>
    <t>INGRESOS</t>
  </si>
  <si>
    <t>Varlor Recuperable Terrenos</t>
  </si>
  <si>
    <t>Varlor Recuperable Maquinaria</t>
  </si>
  <si>
    <t>Suman Los Ingresos</t>
  </si>
  <si>
    <t>Ingresos Actualizados</t>
  </si>
  <si>
    <t>Suma Van de Ingresos</t>
  </si>
  <si>
    <t>EGRESOS</t>
  </si>
  <si>
    <t>Intereses S/Prestamos</t>
  </si>
  <si>
    <t>Impuesto Sobre la Renta</t>
  </si>
  <si>
    <t>Capital de Trabajo</t>
  </si>
  <si>
    <t>Amortizacion Prestamo</t>
  </si>
  <si>
    <t>Suman Los Egresos</t>
  </si>
  <si>
    <t>Egresos Actualizados</t>
  </si>
  <si>
    <t>Suma Van de Egresos</t>
  </si>
  <si>
    <t>Relacion B/C</t>
  </si>
  <si>
    <t>ESTADO DE AMORTIZACION</t>
  </si>
  <si>
    <t>Año</t>
  </si>
  <si>
    <t>Capital</t>
  </si>
  <si>
    <t>Intereses</t>
  </si>
  <si>
    <t>Valor del Prestamo</t>
  </si>
  <si>
    <t>TASA INTERNA DE RETORNO</t>
  </si>
  <si>
    <t>FNF</t>
  </si>
  <si>
    <t>VAN</t>
  </si>
  <si>
    <t>TIR=</t>
  </si>
  <si>
    <t>20-15  X</t>
  </si>
  <si>
    <t>%</t>
  </si>
  <si>
    <t>LABORATORIO No. 1</t>
  </si>
  <si>
    <t>LABORATORIO No. 3</t>
  </si>
  <si>
    <t>EL MUEBLE ECONOMICO</t>
  </si>
  <si>
    <t>Unidades de venta Secretarial</t>
  </si>
  <si>
    <t>Unidades de venta Ejecutivo</t>
  </si>
  <si>
    <t>Precio de venta Secretaria</t>
  </si>
  <si>
    <t>Precio de venta Ejecutivo</t>
  </si>
  <si>
    <t>Gastos variables de ventas</t>
  </si>
  <si>
    <t>Gastos de Administracion</t>
  </si>
  <si>
    <t>Maquinaria y Equipo</t>
  </si>
  <si>
    <t>Herramientas</t>
  </si>
  <si>
    <t>Valor recuperable</t>
  </si>
  <si>
    <t>Varlor Recuperable</t>
  </si>
  <si>
    <t>Gastos Variables de Ventas</t>
  </si>
  <si>
    <t>Renta</t>
  </si>
  <si>
    <t>Abono a Cap.</t>
  </si>
  <si>
    <t>Saldo Cap.</t>
  </si>
  <si>
    <t>Costos Variables</t>
  </si>
  <si>
    <t>Unidad Medida</t>
  </si>
  <si>
    <t>Costo Unitario</t>
  </si>
  <si>
    <t>Cantidad</t>
  </si>
  <si>
    <t>Secretarial</t>
  </si>
  <si>
    <t>Ejecutivo</t>
  </si>
  <si>
    <t>Melamina</t>
  </si>
  <si>
    <t>Plancha</t>
  </si>
  <si>
    <t>Hierro y lamina</t>
  </si>
  <si>
    <t>Kit</t>
  </si>
  <si>
    <t>Otros</t>
  </si>
  <si>
    <t>Mano de obra</t>
  </si>
  <si>
    <t>Unidad</t>
  </si>
  <si>
    <t>Total</t>
  </si>
  <si>
    <t>35-30  X</t>
  </si>
  <si>
    <t>LABORATORIO No. 4</t>
  </si>
  <si>
    <t>ENTRE RIOS, S. A.</t>
  </si>
  <si>
    <t>Unidades de venta</t>
  </si>
  <si>
    <t xml:space="preserve"> </t>
  </si>
  <si>
    <t>Precio de venta</t>
  </si>
  <si>
    <t>Gastos variables de ventas 3%</t>
  </si>
  <si>
    <t>Gastos Fijos de ventas</t>
  </si>
  <si>
    <t>Depreciacion Edificios</t>
  </si>
  <si>
    <t>Depreciacion Maquinaria</t>
  </si>
  <si>
    <t>Maquinaria</t>
  </si>
  <si>
    <t>Valor recuperable Edificio</t>
  </si>
  <si>
    <t>Valor recuperable Maquinaria</t>
  </si>
  <si>
    <t>Varlor Recuperable Edificios</t>
  </si>
  <si>
    <t>Gastos Fijos de Ventas</t>
  </si>
  <si>
    <t>40-35  X</t>
  </si>
  <si>
    <t>30-25  X</t>
  </si>
  <si>
    <t>DESCRIPCIÓN</t>
  </si>
  <si>
    <t>Costos y Gastos</t>
  </si>
  <si>
    <t>Intereses s/prestamo</t>
  </si>
  <si>
    <t>Utilidad antes de ISR</t>
  </si>
  <si>
    <t>FACTOR</t>
  </si>
</sst>
</file>

<file path=xl/styles.xml><?xml version="1.0" encoding="utf-8"?>
<styleSheet xmlns="http://schemas.openxmlformats.org/spreadsheetml/2006/main">
  <numFmts count="1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_(&quot;Q.&quot;* #,##0.00_);_(&quot;Q.&quot;* \(#,##0.00\);_(&quot;Q.&quot;* &quot;-&quot;??_);_(@_)"/>
    <numFmt numFmtId="165" formatCode="0.00000"/>
    <numFmt numFmtId="166" formatCode="#,##0.0_);\(#,##0.0\)"/>
    <numFmt numFmtId="167" formatCode="0.0"/>
    <numFmt numFmtId="168" formatCode="0.000"/>
    <numFmt numFmtId="169" formatCode="0.0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164" fontId="0" fillId="0" borderId="10" xfId="0" applyNumberFormat="1" applyFont="1" applyFill="1" applyBorder="1" applyAlignment="1">
      <alignment/>
    </xf>
    <xf numFmtId="9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3" fontId="0" fillId="0" borderId="12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3" fontId="0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 horizontal="center"/>
    </xf>
    <xf numFmtId="4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4" fontId="0" fillId="0" borderId="16" xfId="0" applyNumberFormat="1" applyFont="1" applyFill="1" applyBorder="1" applyAlignment="1">
      <alignment/>
    </xf>
    <xf numFmtId="43" fontId="0" fillId="0" borderId="15" xfId="0" applyNumberFormat="1" applyFont="1" applyFill="1" applyBorder="1" applyAlignment="1">
      <alignment/>
    </xf>
    <xf numFmtId="1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8" fontId="0" fillId="0" borderId="0" xfId="0" applyNumberFormat="1" applyFont="1" applyFill="1" applyAlignment="1">
      <alignment/>
    </xf>
    <xf numFmtId="164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8" fillId="0" borderId="0" xfId="0" applyFont="1" applyFill="1" applyAlignment="1">
      <alignment/>
    </xf>
    <xf numFmtId="37" fontId="0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 horizontal="center"/>
    </xf>
    <xf numFmtId="10" fontId="1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/>
    </xf>
    <xf numFmtId="43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9" fontId="1" fillId="0" borderId="20" xfId="0" applyNumberFormat="1" applyFont="1" applyFill="1" applyBorder="1" applyAlignment="1">
      <alignment horizontal="center"/>
    </xf>
    <xf numFmtId="9" fontId="1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1" fontId="1" fillId="0" borderId="22" xfId="0" applyNumberFormat="1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0"/>
  <sheetViews>
    <sheetView zoomScalePageLayoutView="0" workbookViewId="0" topLeftCell="A58">
      <selection activeCell="D85" sqref="D85"/>
    </sheetView>
  </sheetViews>
  <sheetFormatPr defaultColWidth="11.421875" defaultRowHeight="12.75"/>
  <cols>
    <col min="1" max="1" width="28.140625" style="2" bestFit="1" customWidth="1"/>
    <col min="2" max="2" width="17.00390625" style="2" bestFit="1" customWidth="1"/>
    <col min="3" max="7" width="14.8515625" style="2" customWidth="1"/>
    <col min="8" max="8" width="11.421875" style="2" customWidth="1"/>
    <col min="9" max="9" width="13.8515625" style="2" bestFit="1" customWidth="1"/>
    <col min="10" max="11" width="12.00390625" style="2" bestFit="1" customWidth="1"/>
    <col min="12" max="12" width="14.28125" style="2" bestFit="1" customWidth="1"/>
    <col min="13" max="13" width="11.8515625" style="2" bestFit="1" customWidth="1"/>
    <col min="14" max="14" width="12.00390625" style="2" bestFit="1" customWidth="1"/>
    <col min="15" max="15" width="11.8515625" style="2" bestFit="1" customWidth="1"/>
    <col min="16" max="16384" width="11.421875" style="2" customWidth="1"/>
  </cols>
  <sheetData>
    <row r="2" spans="1:7" ht="12.75">
      <c r="A2" s="49" t="s">
        <v>53</v>
      </c>
      <c r="B2" s="49"/>
      <c r="C2" s="49"/>
      <c r="D2" s="49"/>
      <c r="E2" s="49"/>
      <c r="F2" s="49"/>
      <c r="G2" s="49"/>
    </row>
    <row r="3" spans="1:7" ht="12.75">
      <c r="A3" s="49" t="s">
        <v>1</v>
      </c>
      <c r="B3" s="49"/>
      <c r="C3" s="49"/>
      <c r="D3" s="49"/>
      <c r="E3" s="49"/>
      <c r="F3" s="49"/>
      <c r="G3" s="49"/>
    </row>
    <row r="4" spans="1:7" ht="12.75">
      <c r="A4" s="49" t="s">
        <v>2</v>
      </c>
      <c r="B4" s="49"/>
      <c r="C4" s="49"/>
      <c r="D4" s="49"/>
      <c r="E4" s="49"/>
      <c r="F4" s="49"/>
      <c r="G4" s="49"/>
    </row>
    <row r="5" spans="1:7" ht="12.75">
      <c r="A5" s="49" t="s">
        <v>3</v>
      </c>
      <c r="B5" s="49"/>
      <c r="C5" s="49"/>
      <c r="D5" s="49"/>
      <c r="E5" s="49"/>
      <c r="F5" s="49"/>
      <c r="G5" s="49"/>
    </row>
    <row r="6" spans="1:7" ht="12.75">
      <c r="A6" s="10" t="s">
        <v>101</v>
      </c>
      <c r="B6" s="3">
        <v>0</v>
      </c>
      <c r="C6" s="3">
        <v>1</v>
      </c>
      <c r="D6" s="3">
        <v>2</v>
      </c>
      <c r="E6" s="3">
        <v>3</v>
      </c>
      <c r="F6" s="3">
        <v>4</v>
      </c>
      <c r="G6" s="3">
        <v>5</v>
      </c>
    </row>
    <row r="7" spans="1:7" ht="12.75">
      <c r="A7" s="2" t="s">
        <v>4</v>
      </c>
      <c r="C7" s="4">
        <v>318000</v>
      </c>
      <c r="D7" s="4">
        <v>400000</v>
      </c>
      <c r="E7" s="4">
        <v>450000</v>
      </c>
      <c r="F7" s="4">
        <v>550000</v>
      </c>
      <c r="G7" s="4">
        <v>750000</v>
      </c>
    </row>
    <row r="8" spans="1:7" ht="12.75">
      <c r="A8" s="2" t="s">
        <v>102</v>
      </c>
      <c r="B8" s="4"/>
      <c r="C8" s="4">
        <v>-190000</v>
      </c>
      <c r="D8" s="4">
        <v>-200000</v>
      </c>
      <c r="E8" s="4">
        <v>-250000</v>
      </c>
      <c r="F8" s="4">
        <v>-275000</v>
      </c>
      <c r="G8" s="4">
        <v>-300000</v>
      </c>
    </row>
    <row r="9" spans="2:7" ht="12.75">
      <c r="B9" s="4"/>
      <c r="C9" s="4"/>
      <c r="D9" s="4"/>
      <c r="E9" s="4"/>
      <c r="F9" s="4"/>
      <c r="G9" s="4"/>
    </row>
    <row r="10" spans="1:9" ht="12.75">
      <c r="A10" s="2" t="s">
        <v>7</v>
      </c>
      <c r="C10" s="4">
        <v>-40000</v>
      </c>
      <c r="D10" s="4">
        <v>-40000</v>
      </c>
      <c r="E10" s="4">
        <v>-40000</v>
      </c>
      <c r="F10" s="4">
        <v>-40000</v>
      </c>
      <c r="G10" s="4">
        <v>-40000</v>
      </c>
      <c r="I10" s="4"/>
    </row>
    <row r="11" spans="1:7" ht="12.75">
      <c r="A11" s="2" t="s">
        <v>8</v>
      </c>
      <c r="C11" s="4">
        <f>ROUND($B$22/5,2)</f>
        <v>-30000</v>
      </c>
      <c r="D11" s="4">
        <f>ROUND($B$22/5,2)</f>
        <v>-30000</v>
      </c>
      <c r="E11" s="4">
        <f>ROUND($B$22/5,2)</f>
        <v>-30000</v>
      </c>
      <c r="F11" s="4">
        <f>ROUND($B$22/5,2)</f>
        <v>-30000</v>
      </c>
      <c r="G11" s="4">
        <f>ROUND($B$22/5,2)</f>
        <v>-30000</v>
      </c>
    </row>
    <row r="12" spans="1:7" ht="13.5" thickBot="1">
      <c r="A12" s="2" t="s">
        <v>103</v>
      </c>
      <c r="C12" s="5">
        <f>-ROUND(B23*0.2,2)</f>
        <v>-56000</v>
      </c>
      <c r="D12" s="5">
        <f>-ROUND(($B$23)*0.2,2)</f>
        <v>-56000</v>
      </c>
      <c r="E12" s="5">
        <f>-ROUND(($B$23)*0.2,2)</f>
        <v>-56000</v>
      </c>
      <c r="F12" s="5">
        <f>-ROUND(($B$23+E25)*0.2,2)</f>
        <v>-36000</v>
      </c>
      <c r="G12" s="5">
        <f>-ROUND(($B$23+E25+F25)*0.2,2)</f>
        <v>-16000</v>
      </c>
    </row>
    <row r="13" spans="1:7" ht="12.75">
      <c r="A13" s="2" t="s">
        <v>104</v>
      </c>
      <c r="C13" s="4">
        <f>SUM(C7:C12)</f>
        <v>2000</v>
      </c>
      <c r="D13" s="4">
        <f>SUM(D7:D12)</f>
        <v>74000</v>
      </c>
      <c r="E13" s="4">
        <f>SUM(E7:E12)</f>
        <v>74000</v>
      </c>
      <c r="F13" s="4">
        <f>SUM(F7:F12)</f>
        <v>169000</v>
      </c>
      <c r="G13" s="4">
        <f>SUM(G7:G12)</f>
        <v>364000</v>
      </c>
    </row>
    <row r="14" spans="1:7" ht="13.5" thickBot="1">
      <c r="A14" s="2" t="s">
        <v>11</v>
      </c>
      <c r="C14" s="5">
        <f>-ROUND(C13*0.28,2)</f>
        <v>-560</v>
      </c>
      <c r="D14" s="5">
        <f>-ROUND(D13*0.28,2)</f>
        <v>-20720</v>
      </c>
      <c r="E14" s="5">
        <f>-ROUND(E13*0.28,2)</f>
        <v>-20720</v>
      </c>
      <c r="F14" s="5">
        <f>-ROUND(F13*0.28,2)</f>
        <v>-47320</v>
      </c>
      <c r="G14" s="5">
        <f>-ROUND(G13*0.28,2)</f>
        <v>-101920</v>
      </c>
    </row>
    <row r="15" spans="1:7" ht="12.75">
      <c r="A15" s="2" t="s">
        <v>12</v>
      </c>
      <c r="C15" s="4">
        <f>SUM(C13:C14)</f>
        <v>1440</v>
      </c>
      <c r="D15" s="4">
        <f>SUM(D13:D14)</f>
        <v>53280</v>
      </c>
      <c r="E15" s="4">
        <f>SUM(E13:E14)</f>
        <v>53280</v>
      </c>
      <c r="F15" s="4">
        <f>SUM(F13:F14)</f>
        <v>121680</v>
      </c>
      <c r="G15" s="4">
        <f>SUM(G13:G14)</f>
        <v>262080</v>
      </c>
    </row>
    <row r="16" spans="1:7" ht="12.75">
      <c r="A16" s="2" t="s">
        <v>7</v>
      </c>
      <c r="B16" s="4"/>
      <c r="C16" s="4">
        <f aca="true" t="shared" si="0" ref="C16:G17">-C10</f>
        <v>40000</v>
      </c>
      <c r="D16" s="4">
        <f t="shared" si="0"/>
        <v>40000</v>
      </c>
      <c r="E16" s="4">
        <f t="shared" si="0"/>
        <v>40000</v>
      </c>
      <c r="F16" s="4">
        <f t="shared" si="0"/>
        <v>40000</v>
      </c>
      <c r="G16" s="4">
        <f t="shared" si="0"/>
        <v>40000</v>
      </c>
    </row>
    <row r="17" spans="1:7" ht="12.75">
      <c r="A17" s="2" t="s">
        <v>8</v>
      </c>
      <c r="B17" s="4"/>
      <c r="C17" s="4">
        <f t="shared" si="0"/>
        <v>30000</v>
      </c>
      <c r="D17" s="4">
        <f t="shared" si="0"/>
        <v>30000</v>
      </c>
      <c r="E17" s="4">
        <f t="shared" si="0"/>
        <v>30000</v>
      </c>
      <c r="F17" s="4">
        <f t="shared" si="0"/>
        <v>30000</v>
      </c>
      <c r="G17" s="4">
        <f t="shared" si="0"/>
        <v>30000</v>
      </c>
    </row>
    <row r="18" spans="2:7" ht="12.75">
      <c r="B18" s="4"/>
      <c r="C18" s="41"/>
      <c r="D18" s="41"/>
      <c r="E18" s="41"/>
      <c r="F18" s="41"/>
      <c r="G18" s="41"/>
    </row>
    <row r="19" spans="2:7" ht="12.75">
      <c r="B19" s="4"/>
      <c r="C19" s="41"/>
      <c r="D19" s="41"/>
      <c r="E19" s="41"/>
      <c r="F19" s="41"/>
      <c r="G19" s="41"/>
    </row>
    <row r="20" spans="1:7" ht="12.75">
      <c r="A20" s="2" t="s">
        <v>15</v>
      </c>
      <c r="B20" s="4">
        <v>-300000</v>
      </c>
      <c r="C20" s="41"/>
      <c r="D20" s="41"/>
      <c r="E20" s="41"/>
      <c r="F20" s="41"/>
      <c r="G20" s="41"/>
    </row>
    <row r="21" spans="1:7" ht="12.75">
      <c r="A21" s="2" t="s">
        <v>16</v>
      </c>
      <c r="B21" s="4">
        <v>-150000</v>
      </c>
      <c r="C21" s="41"/>
      <c r="D21" s="41"/>
      <c r="E21" s="41"/>
      <c r="F21" s="41"/>
      <c r="G21" s="41"/>
    </row>
    <row r="22" spans="1:7" ht="12.75">
      <c r="A22" s="2" t="s">
        <v>17</v>
      </c>
      <c r="B22" s="4">
        <v>-150000</v>
      </c>
      <c r="C22" s="41"/>
      <c r="D22" s="41"/>
      <c r="E22" s="41"/>
      <c r="F22" s="41"/>
      <c r="G22" s="41"/>
    </row>
    <row r="23" spans="1:7" ht="12.75">
      <c r="A23" s="2" t="s">
        <v>20</v>
      </c>
      <c r="B23" s="4">
        <v>280000</v>
      </c>
      <c r="C23" s="41"/>
      <c r="D23" s="41"/>
      <c r="E23" s="41"/>
      <c r="F23" s="41"/>
      <c r="G23" s="41"/>
    </row>
    <row r="24" spans="1:7" ht="12.75">
      <c r="A24" s="2" t="s">
        <v>19</v>
      </c>
      <c r="B24" s="4"/>
      <c r="G24" s="4">
        <v>250000</v>
      </c>
    </row>
    <row r="25" spans="1:7" ht="13.5" thickBot="1">
      <c r="A25" s="2" t="s">
        <v>21</v>
      </c>
      <c r="B25" s="5"/>
      <c r="C25" s="5"/>
      <c r="D25" s="5"/>
      <c r="E25" s="5">
        <v>-100000</v>
      </c>
      <c r="F25" s="5">
        <v>-100000</v>
      </c>
      <c r="G25" s="5">
        <v>-80000</v>
      </c>
    </row>
    <row r="26" spans="1:7" ht="12.75">
      <c r="A26" s="2" t="s">
        <v>22</v>
      </c>
      <c r="B26" s="4">
        <f>SUM(B16:B25)</f>
        <v>-320000</v>
      </c>
      <c r="C26" s="4">
        <f>SUM(C15:C25)</f>
        <v>71440</v>
      </c>
      <c r="D26" s="4">
        <f>SUM(D15:D25)</f>
        <v>123280</v>
      </c>
      <c r="E26" s="4">
        <f>SUM(E15:E25)</f>
        <v>23280</v>
      </c>
      <c r="F26" s="4">
        <f>SUM(F15:F25)</f>
        <v>91680</v>
      </c>
      <c r="G26" s="4">
        <f>SUM(G15:G25)</f>
        <v>502080</v>
      </c>
    </row>
    <row r="27" spans="1:7" ht="12.75">
      <c r="A27" s="2" t="s">
        <v>105</v>
      </c>
      <c r="B27" s="42">
        <v>1</v>
      </c>
      <c r="C27" s="4"/>
      <c r="D27" s="4"/>
      <c r="E27" s="4"/>
      <c r="F27" s="4"/>
      <c r="G27" s="4"/>
    </row>
    <row r="28" spans="1:7" ht="12.75">
      <c r="A28" s="3" t="s">
        <v>23</v>
      </c>
      <c r="B28" s="44">
        <f aca="true" t="shared" si="1" ref="B28:G28">ROUND(B26*((1+$B$29)^-B6),2)</f>
        <v>-320000</v>
      </c>
      <c r="C28" s="44">
        <f t="shared" si="1"/>
        <v>59533.33</v>
      </c>
      <c r="D28" s="44">
        <f t="shared" si="1"/>
        <v>85611.11</v>
      </c>
      <c r="E28" s="44">
        <f t="shared" si="1"/>
        <v>13472.22</v>
      </c>
      <c r="F28" s="44">
        <f t="shared" si="1"/>
        <v>44212.96</v>
      </c>
      <c r="G28" s="44">
        <f t="shared" si="1"/>
        <v>201774.69</v>
      </c>
    </row>
    <row r="29" spans="1:7" ht="12.75">
      <c r="A29" s="43" t="s">
        <v>24</v>
      </c>
      <c r="B29" s="47">
        <v>0.2</v>
      </c>
      <c r="C29" s="3"/>
      <c r="D29" s="3"/>
      <c r="E29" s="3"/>
      <c r="F29" s="3"/>
      <c r="G29" s="3"/>
    </row>
    <row r="30" spans="1:7" ht="12.75" customHeight="1">
      <c r="A30" s="3" t="s">
        <v>25</v>
      </c>
      <c r="B30" s="44">
        <f>SUM(B28:G28)</f>
        <v>84604.31</v>
      </c>
      <c r="C30" s="3"/>
      <c r="D30" s="3"/>
      <c r="E30" s="3"/>
      <c r="F30" s="3"/>
      <c r="G30" s="3"/>
    </row>
    <row r="31" ht="12.75" customHeight="1">
      <c r="B31" s="7"/>
    </row>
    <row r="32" spans="1:7" ht="12.75" customHeight="1" thickBot="1">
      <c r="A32" s="8"/>
      <c r="B32" s="9"/>
      <c r="C32" s="8"/>
      <c r="D32" s="8"/>
      <c r="E32" s="8"/>
      <c r="F32" s="8"/>
      <c r="G32" s="8"/>
    </row>
    <row r="33" spans="1:7" ht="12.75" customHeight="1">
      <c r="A33" s="50" t="s">
        <v>26</v>
      </c>
      <c r="B33" s="50"/>
      <c r="C33" s="50"/>
      <c r="D33" s="50"/>
      <c r="E33" s="50"/>
      <c r="F33" s="50"/>
      <c r="G33" s="50"/>
    </row>
    <row r="34" spans="1:7" ht="12.75" customHeight="1">
      <c r="A34" s="49" t="s">
        <v>27</v>
      </c>
      <c r="B34" s="49"/>
      <c r="C34" s="49"/>
      <c r="D34" s="49"/>
      <c r="E34" s="49"/>
      <c r="F34" s="49"/>
      <c r="G34" s="49"/>
    </row>
    <row r="35" spans="1:7" ht="12.75" customHeight="1">
      <c r="A35" s="2" t="s">
        <v>4</v>
      </c>
      <c r="C35" s="4">
        <f>C7</f>
        <v>318000</v>
      </c>
      <c r="D35" s="4">
        <f>D7</f>
        <v>400000</v>
      </c>
      <c r="E35" s="4">
        <f>E7</f>
        <v>450000</v>
      </c>
      <c r="F35" s="4">
        <f>F7</f>
        <v>550000</v>
      </c>
      <c r="G35" s="4">
        <f>G7</f>
        <v>750000</v>
      </c>
    </row>
    <row r="36" spans="1:2" ht="12.75" customHeight="1">
      <c r="A36" s="2" t="s">
        <v>20</v>
      </c>
      <c r="B36" s="4">
        <f>B23</f>
        <v>280000</v>
      </c>
    </row>
    <row r="37" spans="1:7" ht="12.75" customHeight="1">
      <c r="A37" s="2" t="s">
        <v>28</v>
      </c>
      <c r="G37" s="4"/>
    </row>
    <row r="38" spans="1:7" ht="16.5" customHeight="1" thickBot="1">
      <c r="A38" s="8" t="s">
        <v>29</v>
      </c>
      <c r="B38" s="8"/>
      <c r="C38" s="8"/>
      <c r="D38" s="8"/>
      <c r="E38" s="8"/>
      <c r="F38" s="8"/>
      <c r="G38" s="5">
        <f>G24</f>
        <v>250000</v>
      </c>
    </row>
    <row r="39" spans="1:7" ht="12.75" customHeight="1">
      <c r="A39" s="2" t="s">
        <v>30</v>
      </c>
      <c r="B39" s="4">
        <f aca="true" t="shared" si="2" ref="B39:G39">SUM(B35:B38)</f>
        <v>280000</v>
      </c>
      <c r="C39" s="4">
        <f t="shared" si="2"/>
        <v>318000</v>
      </c>
      <c r="D39" s="4">
        <f t="shared" si="2"/>
        <v>400000</v>
      </c>
      <c r="E39" s="4">
        <f t="shared" si="2"/>
        <v>450000</v>
      </c>
      <c r="F39" s="4">
        <f t="shared" si="2"/>
        <v>550000</v>
      </c>
      <c r="G39" s="4">
        <f t="shared" si="2"/>
        <v>1000000</v>
      </c>
    </row>
    <row r="40" spans="1:7" ht="12.75" customHeight="1">
      <c r="A40" s="2" t="s">
        <v>31</v>
      </c>
      <c r="B40" s="4">
        <f>ROUND(B39*((1+$B$29)^-B6),2)</f>
        <v>280000</v>
      </c>
      <c r="C40" s="4">
        <f>ROUND(C39*((1+$B$29)^-C6),2)</f>
        <v>265000</v>
      </c>
      <c r="D40" s="4">
        <f>ROUND(D39*((1+$B$29)^-D6),2)</f>
        <v>277777.78</v>
      </c>
      <c r="E40" s="4">
        <f>ROUND(E39*((1+$B$29)^-E6),2)</f>
        <v>260416.67</v>
      </c>
      <c r="F40" s="4">
        <f>ROUND(F39*((1+$B$29)^-F6),2)</f>
        <v>265239.2</v>
      </c>
      <c r="G40" s="4">
        <f>ROUND(G39*((1+$B$29)^-G6),2)</f>
        <v>401877.57</v>
      </c>
    </row>
    <row r="41" spans="1:7" ht="12.75" customHeight="1">
      <c r="A41" s="10" t="s">
        <v>32</v>
      </c>
      <c r="G41" s="11">
        <f>SUM(B40:G40)</f>
        <v>1750311.22</v>
      </c>
    </row>
    <row r="42" ht="12.75" customHeight="1">
      <c r="G42" s="4"/>
    </row>
    <row r="43" spans="1:7" ht="12.75" customHeight="1">
      <c r="A43" s="49" t="s">
        <v>33</v>
      </c>
      <c r="B43" s="49"/>
      <c r="C43" s="49"/>
      <c r="D43" s="49"/>
      <c r="E43" s="49"/>
      <c r="F43" s="49"/>
      <c r="G43" s="49"/>
    </row>
    <row r="44" spans="1:7" ht="12.75" customHeight="1">
      <c r="A44" s="2" t="s">
        <v>5</v>
      </c>
      <c r="C44" s="4">
        <f aca="true" t="shared" si="3" ref="C44:G45">-C8</f>
        <v>190000</v>
      </c>
      <c r="D44" s="4">
        <f t="shared" si="3"/>
        <v>200000</v>
      </c>
      <c r="E44" s="4">
        <f t="shared" si="3"/>
        <v>250000</v>
      </c>
      <c r="F44" s="4">
        <f t="shared" si="3"/>
        <v>275000</v>
      </c>
      <c r="G44" s="4">
        <f t="shared" si="3"/>
        <v>300000</v>
      </c>
    </row>
    <row r="45" spans="1:7" ht="12.75" customHeight="1">
      <c r="A45" s="2" t="s">
        <v>6</v>
      </c>
      <c r="C45" s="4">
        <f t="shared" si="3"/>
        <v>0</v>
      </c>
      <c r="D45" s="4">
        <f t="shared" si="3"/>
        <v>0</v>
      </c>
      <c r="E45" s="4">
        <f t="shared" si="3"/>
        <v>0</v>
      </c>
      <c r="F45" s="4">
        <f t="shared" si="3"/>
        <v>0</v>
      </c>
      <c r="G45" s="4">
        <f t="shared" si="3"/>
        <v>0</v>
      </c>
    </row>
    <row r="46" spans="1:7" ht="12.75" customHeight="1">
      <c r="A46" s="2" t="s">
        <v>34</v>
      </c>
      <c r="C46" s="4">
        <f>-C12</f>
        <v>56000</v>
      </c>
      <c r="D46" s="4">
        <f>-D12</f>
        <v>56000</v>
      </c>
      <c r="E46" s="4">
        <f>-E12</f>
        <v>56000</v>
      </c>
      <c r="F46" s="4">
        <f>-F12</f>
        <v>36000</v>
      </c>
      <c r="G46" s="4">
        <f>-G12</f>
        <v>16000</v>
      </c>
    </row>
    <row r="47" spans="1:7" ht="12.75" customHeight="1">
      <c r="A47" s="2" t="s">
        <v>35</v>
      </c>
      <c r="C47" s="4">
        <f>-C14</f>
        <v>560</v>
      </c>
      <c r="D47" s="4">
        <f>-D14</f>
        <v>20720</v>
      </c>
      <c r="E47" s="4">
        <f>-E14</f>
        <v>20720</v>
      </c>
      <c r="F47" s="4">
        <f>-F14</f>
        <v>47320</v>
      </c>
      <c r="G47" s="4">
        <f>-G14</f>
        <v>101920</v>
      </c>
    </row>
    <row r="48" spans="1:2" ht="12.75" customHeight="1">
      <c r="A48" s="2" t="s">
        <v>15</v>
      </c>
      <c r="B48" s="4">
        <f>-SUM(B18:B20)</f>
        <v>300000</v>
      </c>
    </row>
    <row r="49" spans="1:2" ht="12.75" customHeight="1">
      <c r="A49" s="2" t="s">
        <v>17</v>
      </c>
      <c r="B49" s="4">
        <f>-B22</f>
        <v>150000</v>
      </c>
    </row>
    <row r="50" spans="1:2" ht="12.75" customHeight="1">
      <c r="A50" s="2" t="s">
        <v>36</v>
      </c>
      <c r="B50" s="4">
        <f>-B21</f>
        <v>150000</v>
      </c>
    </row>
    <row r="51" spans="1:7" ht="12.75" customHeight="1" thickBot="1">
      <c r="A51" s="8" t="s">
        <v>37</v>
      </c>
      <c r="B51" s="8"/>
      <c r="C51" s="5">
        <f>-C25</f>
        <v>0</v>
      </c>
      <c r="D51" s="5">
        <f>-D25</f>
        <v>0</v>
      </c>
      <c r="E51" s="5">
        <f>-E25</f>
        <v>100000</v>
      </c>
      <c r="F51" s="5">
        <f>-F25</f>
        <v>100000</v>
      </c>
      <c r="G51" s="5">
        <f>-G25</f>
        <v>80000</v>
      </c>
    </row>
    <row r="52" spans="1:7" ht="12.75" customHeight="1">
      <c r="A52" s="2" t="s">
        <v>38</v>
      </c>
      <c r="B52" s="4">
        <f aca="true" t="shared" si="4" ref="B52:G52">SUM(B44:B51)</f>
        <v>600000</v>
      </c>
      <c r="C52" s="4">
        <f t="shared" si="4"/>
        <v>246560</v>
      </c>
      <c r="D52" s="4">
        <f t="shared" si="4"/>
        <v>276720</v>
      </c>
      <c r="E52" s="4">
        <f t="shared" si="4"/>
        <v>426720</v>
      </c>
      <c r="F52" s="4">
        <f t="shared" si="4"/>
        <v>458320</v>
      </c>
      <c r="G52" s="4">
        <f t="shared" si="4"/>
        <v>497920</v>
      </c>
    </row>
    <row r="53" spans="1:7" ht="12.75" customHeight="1">
      <c r="A53" s="2" t="s">
        <v>39</v>
      </c>
      <c r="B53" s="4">
        <f aca="true" t="shared" si="5" ref="B53:G53">ROUND(B52*((1+$B$29)^-B6),2)</f>
        <v>600000</v>
      </c>
      <c r="C53" s="4">
        <f t="shared" si="5"/>
        <v>205466.67</v>
      </c>
      <c r="D53" s="4">
        <f t="shared" si="5"/>
        <v>192166.67</v>
      </c>
      <c r="E53" s="4">
        <f t="shared" si="5"/>
        <v>246944.44</v>
      </c>
      <c r="F53" s="4">
        <f t="shared" si="5"/>
        <v>221026.23</v>
      </c>
      <c r="G53" s="4">
        <f t="shared" si="5"/>
        <v>200102.88</v>
      </c>
    </row>
    <row r="54" spans="1:7" ht="12.75" customHeight="1">
      <c r="A54" s="10" t="s">
        <v>40</v>
      </c>
      <c r="G54" s="11">
        <f>SUM(B53:G53)</f>
        <v>1665706.8900000001</v>
      </c>
    </row>
    <row r="55" spans="1:4" ht="12.75" customHeight="1">
      <c r="A55" s="10" t="s">
        <v>41</v>
      </c>
      <c r="B55" s="4">
        <f>G41</f>
        <v>1750311.22</v>
      </c>
      <c r="C55" s="4">
        <f>G54</f>
        <v>1665706.8900000001</v>
      </c>
      <c r="D55" s="10">
        <f>B55/C55</f>
        <v>1.050791847297936</v>
      </c>
    </row>
    <row r="56" ht="12.75" customHeight="1"/>
    <row r="57" ht="12.75" customHeight="1"/>
    <row r="58" spans="2:5" ht="12.75" customHeight="1">
      <c r="B58" s="49" t="s">
        <v>42</v>
      </c>
      <c r="C58" s="49"/>
      <c r="D58" s="49"/>
      <c r="E58" s="49"/>
    </row>
    <row r="59" spans="1:3" ht="12.75" customHeight="1">
      <c r="A59" s="12" t="s">
        <v>43</v>
      </c>
      <c r="B59" s="3" t="s">
        <v>44</v>
      </c>
      <c r="C59" s="3" t="s">
        <v>45</v>
      </c>
    </row>
    <row r="60" spans="2:4" ht="12.75" customHeight="1">
      <c r="B60" s="2" t="s">
        <v>46</v>
      </c>
      <c r="D60" s="4">
        <v>280000</v>
      </c>
    </row>
    <row r="61" spans="1:4" ht="12.75" customHeight="1">
      <c r="A61" s="2">
        <v>1</v>
      </c>
      <c r="B61" s="4">
        <v>0</v>
      </c>
      <c r="C61" s="4">
        <f>ROUND(D60*0.2,2)</f>
        <v>56000</v>
      </c>
      <c r="D61" s="4">
        <f>D60-B61</f>
        <v>280000</v>
      </c>
    </row>
    <row r="62" spans="1:4" ht="12.75" customHeight="1">
      <c r="A62" s="2">
        <v>2</v>
      </c>
      <c r="B62" s="4">
        <f>B61</f>
        <v>0</v>
      </c>
      <c r="C62" s="4">
        <f>ROUND(D61*0.2,2)</f>
        <v>56000</v>
      </c>
      <c r="D62" s="4">
        <f>D61-B62</f>
        <v>280000</v>
      </c>
    </row>
    <row r="63" spans="1:4" ht="12.75" customHeight="1">
      <c r="A63" s="2">
        <v>3</v>
      </c>
      <c r="B63" s="4">
        <v>100000</v>
      </c>
      <c r="C63" s="4">
        <f>ROUND(D62*0.2,2)</f>
        <v>56000</v>
      </c>
      <c r="D63" s="4">
        <f>D62-B63</f>
        <v>180000</v>
      </c>
    </row>
    <row r="64" spans="1:4" ht="12.75" customHeight="1">
      <c r="A64" s="2">
        <v>4</v>
      </c>
      <c r="B64" s="4">
        <v>100000</v>
      </c>
      <c r="C64" s="4">
        <f>ROUND(D63*0.2,2)</f>
        <v>36000</v>
      </c>
      <c r="D64" s="4">
        <f>D63-B64</f>
        <v>80000</v>
      </c>
    </row>
    <row r="65" spans="1:4" ht="12.75" customHeight="1">
      <c r="A65" s="2">
        <v>5</v>
      </c>
      <c r="B65" s="4">
        <v>80000</v>
      </c>
      <c r="C65" s="4">
        <f>ROUND(D64*0.2,2)</f>
        <v>16000</v>
      </c>
      <c r="D65" s="4">
        <f>D64-B65</f>
        <v>0</v>
      </c>
    </row>
    <row r="66" ht="12.75" customHeight="1"/>
    <row r="67" spans="1:7" ht="12.75" customHeight="1">
      <c r="A67" s="52" t="s">
        <v>47</v>
      </c>
      <c r="B67" s="52"/>
      <c r="C67" s="52"/>
      <c r="D67" s="52"/>
      <c r="E67" s="52"/>
      <c r="F67" s="52"/>
      <c r="G67" s="52"/>
    </row>
    <row r="68" ht="12.75" customHeight="1"/>
    <row r="69" ht="12.75" customHeight="1" thickBot="1"/>
    <row r="70" spans="1:7" ht="12.75" customHeight="1" thickBot="1">
      <c r="A70" s="13" t="s">
        <v>48</v>
      </c>
      <c r="B70" s="53">
        <v>0.2</v>
      </c>
      <c r="C70" s="54"/>
      <c r="D70" s="53">
        <v>0.25</v>
      </c>
      <c r="E70" s="54"/>
      <c r="F70" s="53">
        <v>0.3</v>
      </c>
      <c r="G70" s="54"/>
    </row>
    <row r="71" spans="1:7" ht="12.75" customHeight="1">
      <c r="A71" s="14">
        <f>B26</f>
        <v>-320000</v>
      </c>
      <c r="B71" s="15">
        <f>1.2^0</f>
        <v>1</v>
      </c>
      <c r="C71" s="16">
        <f aca="true" t="shared" si="6" ref="C71:C76">B71*A71</f>
        <v>-320000</v>
      </c>
      <c r="D71" s="15">
        <f>1.25^0</f>
        <v>1</v>
      </c>
      <c r="E71" s="16">
        <f aca="true" t="shared" si="7" ref="E71:E76">D71*A71</f>
        <v>-320000</v>
      </c>
      <c r="F71" s="15">
        <f>1.15^0</f>
        <v>1</v>
      </c>
      <c r="G71" s="16">
        <f aca="true" t="shared" si="8" ref="G71:G76">F71*A71</f>
        <v>-320000</v>
      </c>
    </row>
    <row r="72" spans="1:7" ht="12.75" customHeight="1">
      <c r="A72" s="17">
        <f>C26</f>
        <v>71440</v>
      </c>
      <c r="B72" s="18">
        <f>1.2^-1</f>
        <v>0.8333333333333334</v>
      </c>
      <c r="C72" s="16">
        <f t="shared" si="6"/>
        <v>59533.333333333336</v>
      </c>
      <c r="D72" s="18">
        <f>1.25^-1</f>
        <v>0.8</v>
      </c>
      <c r="E72" s="16">
        <f t="shared" si="7"/>
        <v>57152</v>
      </c>
      <c r="F72" s="18">
        <f>1.3^-1</f>
        <v>0.7692307692307692</v>
      </c>
      <c r="G72" s="16">
        <f t="shared" si="8"/>
        <v>54953.84615384615</v>
      </c>
    </row>
    <row r="73" spans="1:7" ht="12.75" customHeight="1">
      <c r="A73" s="19">
        <f>D26</f>
        <v>123280</v>
      </c>
      <c r="B73" s="18">
        <f>1.2^-2</f>
        <v>0.6944444444444444</v>
      </c>
      <c r="C73" s="16">
        <f t="shared" si="6"/>
        <v>85611.11111111111</v>
      </c>
      <c r="D73" s="18">
        <f>1.25^-2</f>
        <v>0.64</v>
      </c>
      <c r="E73" s="16">
        <f t="shared" si="7"/>
        <v>78899.2</v>
      </c>
      <c r="F73" s="18">
        <f>1.3^-2</f>
        <v>0.5917159763313609</v>
      </c>
      <c r="G73" s="16">
        <f t="shared" si="8"/>
        <v>72946.74556213016</v>
      </c>
    </row>
    <row r="74" spans="1:7" ht="12.75" customHeight="1">
      <c r="A74" s="19">
        <f>E26</f>
        <v>23280</v>
      </c>
      <c r="B74" s="18">
        <f>1.2^-3</f>
        <v>0.5787037037037037</v>
      </c>
      <c r="C74" s="16">
        <f t="shared" si="6"/>
        <v>13472.222222222223</v>
      </c>
      <c r="D74" s="18">
        <f>1.25^-3</f>
        <v>0.512</v>
      </c>
      <c r="E74" s="16">
        <f t="shared" si="7"/>
        <v>11919.36</v>
      </c>
      <c r="F74" s="18">
        <f>1.3^-3</f>
        <v>0.4551661356395083</v>
      </c>
      <c r="G74" s="16">
        <f t="shared" si="8"/>
        <v>10596.267637687753</v>
      </c>
    </row>
    <row r="75" spans="1:7" ht="12.75" customHeight="1">
      <c r="A75" s="19">
        <f>F26</f>
        <v>91680</v>
      </c>
      <c r="B75" s="18">
        <f>1.2^-4</f>
        <v>0.4822530864197531</v>
      </c>
      <c r="C75" s="16">
        <f t="shared" si="6"/>
        <v>44212.96296296296</v>
      </c>
      <c r="D75" s="18">
        <f>1.25^-4</f>
        <v>0.4096</v>
      </c>
      <c r="E75" s="16">
        <f t="shared" si="7"/>
        <v>37552.128000000004</v>
      </c>
      <c r="F75" s="18">
        <f>1.3^-4</f>
        <v>0.35012779664577565</v>
      </c>
      <c r="G75" s="16">
        <f t="shared" si="8"/>
        <v>32099.71639648471</v>
      </c>
    </row>
    <row r="76" spans="1:7" ht="12.75" customHeight="1" thickBot="1">
      <c r="A76" s="20">
        <f>G26</f>
        <v>502080</v>
      </c>
      <c r="B76" s="21">
        <f>1.2^-5</f>
        <v>0.4018775720164609</v>
      </c>
      <c r="C76" s="22">
        <f t="shared" si="6"/>
        <v>201774.6913580247</v>
      </c>
      <c r="D76" s="21">
        <f>1.25^-5</f>
        <v>0.32768</v>
      </c>
      <c r="E76" s="16">
        <f t="shared" si="7"/>
        <v>164521.5744</v>
      </c>
      <c r="F76" s="21">
        <f>1.3^-5</f>
        <v>0.2693290743429043</v>
      </c>
      <c r="G76" s="16">
        <f t="shared" si="8"/>
        <v>135224.7416460854</v>
      </c>
    </row>
    <row r="77" spans="1:7" ht="12.75" customHeight="1" thickBot="1" thickTop="1">
      <c r="A77" s="23" t="s">
        <v>49</v>
      </c>
      <c r="B77" s="24"/>
      <c r="C77" s="25">
        <f>SUM(C71:C76)</f>
        <v>84604.32098765431</v>
      </c>
      <c r="D77" s="24"/>
      <c r="E77" s="25">
        <f>SUM(E71:E76)</f>
        <v>30044.262400000007</v>
      </c>
      <c r="F77" s="24"/>
      <c r="G77" s="25">
        <f>SUM(G71:G76)</f>
        <v>-14178.682603765832</v>
      </c>
    </row>
    <row r="78" spans="1:7" ht="12.75" customHeight="1" thickTop="1">
      <c r="A78" s="15"/>
      <c r="B78" s="15"/>
      <c r="C78" s="15"/>
      <c r="D78" s="15"/>
      <c r="E78" s="15"/>
      <c r="F78" s="15"/>
      <c r="G78" s="16"/>
    </row>
    <row r="79" ht="12.75" customHeight="1">
      <c r="D79" s="26"/>
    </row>
    <row r="80" spans="1:6" ht="12.75" customHeight="1" thickBot="1">
      <c r="A80" s="12" t="s">
        <v>50</v>
      </c>
      <c r="B80" s="45">
        <v>0.25</v>
      </c>
      <c r="C80" s="3" t="s">
        <v>100</v>
      </c>
      <c r="D80" s="51">
        <f>E77</f>
        <v>30044.262400000007</v>
      </c>
      <c r="E80" s="51"/>
      <c r="F80" s="28"/>
    </row>
    <row r="81" spans="2:5" ht="12.75" customHeight="1">
      <c r="B81" s="27"/>
      <c r="D81" s="29">
        <f>E77</f>
        <v>30044.262400000007</v>
      </c>
      <c r="E81" s="29">
        <f>+G77</f>
        <v>-14178.682603765832</v>
      </c>
    </row>
    <row r="82" ht="12.75" customHeight="1">
      <c r="B82" s="27"/>
    </row>
    <row r="83" spans="1:4" ht="12.75" customHeight="1">
      <c r="A83" s="12" t="s">
        <v>50</v>
      </c>
      <c r="B83" s="45">
        <f>B80</f>
        <v>0.25</v>
      </c>
      <c r="C83" s="45">
        <v>0.05</v>
      </c>
      <c r="D83" s="30">
        <f>D80</f>
        <v>30044.262400000007</v>
      </c>
    </row>
    <row r="84" spans="2:4" ht="12.75" customHeight="1">
      <c r="B84" s="27"/>
      <c r="D84" s="30">
        <f>D81-E81</f>
        <v>44222.94500376584</v>
      </c>
    </row>
    <row r="85" ht="12.75" customHeight="1">
      <c r="B85" s="27"/>
    </row>
    <row r="86" spans="1:3" ht="12.75" customHeight="1">
      <c r="A86" s="12" t="str">
        <f>A83</f>
        <v>TIR=</v>
      </c>
      <c r="B86" s="45">
        <f>B83</f>
        <v>0.25</v>
      </c>
      <c r="C86" s="2">
        <f>D83/D84</f>
        <v>0.6793817643180834</v>
      </c>
    </row>
    <row r="87" ht="12.75" customHeight="1">
      <c r="D87" s="10"/>
    </row>
    <row r="88" spans="1:8" ht="12.75" customHeight="1">
      <c r="A88" s="31" t="str">
        <f>A86</f>
        <v>TIR=</v>
      </c>
      <c r="B88" s="46">
        <f>B86</f>
        <v>0.25</v>
      </c>
      <c r="C88" s="33">
        <f>C83*C86</f>
        <v>0.03396908821590417</v>
      </c>
      <c r="D88" s="33"/>
      <c r="E88" s="33"/>
      <c r="F88" s="33"/>
      <c r="G88" s="33"/>
      <c r="H88" s="33"/>
    </row>
    <row r="89" ht="12.75" customHeight="1"/>
    <row r="90" spans="1:3" ht="12.75" customHeight="1">
      <c r="A90" s="31" t="str">
        <f>A88</f>
        <v>TIR=</v>
      </c>
      <c r="B90" s="32">
        <f>B88+C88</f>
        <v>0.28396908821590416</v>
      </c>
      <c r="C90" s="48">
        <f>B90*100</f>
        <v>28.396908821590415</v>
      </c>
    </row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</sheetData>
  <sheetProtection/>
  <mergeCells count="13">
    <mergeCell ref="D80:E80"/>
    <mergeCell ref="B58:E58"/>
    <mergeCell ref="A67:G67"/>
    <mergeCell ref="B70:C70"/>
    <mergeCell ref="D70:E70"/>
    <mergeCell ref="F70:G70"/>
    <mergeCell ref="A5:G5"/>
    <mergeCell ref="A33:G33"/>
    <mergeCell ref="A34:G34"/>
    <mergeCell ref="A43:G43"/>
    <mergeCell ref="A2:G2"/>
    <mergeCell ref="A3:G3"/>
    <mergeCell ref="A4:G4"/>
  </mergeCells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5.7109375" style="2" customWidth="1"/>
    <col min="2" max="7" width="14.8515625" style="2" customWidth="1"/>
    <col min="8" max="8" width="11.421875" style="2" customWidth="1"/>
    <col min="9" max="9" width="13.8515625" style="2" bestFit="1" customWidth="1"/>
    <col min="10" max="10" width="11.421875" style="2" customWidth="1"/>
    <col min="11" max="11" width="12.00390625" style="2" bestFit="1" customWidth="1"/>
    <col min="12" max="12" width="11.421875" style="2" customWidth="1"/>
    <col min="13" max="13" width="11.8515625" style="2" bestFit="1" customWidth="1"/>
    <col min="14" max="14" width="11.421875" style="2" customWidth="1"/>
    <col min="15" max="15" width="11.8515625" style="2" bestFit="1" customWidth="1"/>
    <col min="16" max="16384" width="11.421875" style="2" customWidth="1"/>
  </cols>
  <sheetData>
    <row r="1" spans="1:7" ht="12.75">
      <c r="A1" s="49" t="s">
        <v>0</v>
      </c>
      <c r="B1" s="49"/>
      <c r="C1" s="49"/>
      <c r="D1" s="49"/>
      <c r="E1" s="49"/>
      <c r="F1" s="49"/>
      <c r="G1" s="49"/>
    </row>
    <row r="2" spans="1:7" ht="12.75">
      <c r="A2" s="49" t="s">
        <v>55</v>
      </c>
      <c r="B2" s="49"/>
      <c r="C2" s="49"/>
      <c r="D2" s="49"/>
      <c r="E2" s="49"/>
      <c r="F2" s="49"/>
      <c r="G2" s="49"/>
    </row>
    <row r="3" spans="1:7" ht="12.75">
      <c r="A3" s="49" t="s">
        <v>2</v>
      </c>
      <c r="B3" s="49"/>
      <c r="C3" s="49"/>
      <c r="D3" s="49"/>
      <c r="E3" s="49"/>
      <c r="F3" s="49"/>
      <c r="G3" s="49"/>
    </row>
    <row r="4" spans="1:7" ht="12.75">
      <c r="A4" s="49" t="s">
        <v>3</v>
      </c>
      <c r="B4" s="49"/>
      <c r="C4" s="49"/>
      <c r="D4" s="49"/>
      <c r="E4" s="49"/>
      <c r="F4" s="49"/>
      <c r="G4" s="49"/>
    </row>
    <row r="5" spans="2:7" ht="12.75">
      <c r="B5" s="3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</row>
    <row r="6" spans="1:7" ht="12.75">
      <c r="A6" s="2" t="s">
        <v>56</v>
      </c>
      <c r="C6" s="3">
        <v>700</v>
      </c>
      <c r="D6" s="3">
        <f>ROUND(C6*1.1,0)</f>
        <v>770</v>
      </c>
      <c r="E6" s="3">
        <f>ROUND(D6*1.1,0)</f>
        <v>847</v>
      </c>
      <c r="F6" s="3">
        <f>ROUND(E6*1.1,0)</f>
        <v>932</v>
      </c>
      <c r="G6" s="3">
        <f>ROUND(F6*1.1,0)</f>
        <v>1025</v>
      </c>
    </row>
    <row r="7" spans="1:7" ht="12.75">
      <c r="A7" s="2" t="s">
        <v>57</v>
      </c>
      <c r="C7" s="3">
        <v>275</v>
      </c>
      <c r="D7" s="3">
        <f>ROUND(C7*1.08,0)</f>
        <v>297</v>
      </c>
      <c r="E7" s="3">
        <f>ROUND(D7*1.08,0)</f>
        <v>321</v>
      </c>
      <c r="F7" s="3">
        <f>ROUND(E7*1.08,0)</f>
        <v>347</v>
      </c>
      <c r="G7" s="3">
        <f>ROUND(F7*1.08,0)</f>
        <v>375</v>
      </c>
    </row>
    <row r="8" spans="1:7" ht="12.75">
      <c r="A8" s="2" t="s">
        <v>58</v>
      </c>
      <c r="C8" s="4">
        <v>525</v>
      </c>
      <c r="D8" s="4">
        <v>525</v>
      </c>
      <c r="E8" s="4">
        <v>525</v>
      </c>
      <c r="F8" s="4">
        <v>550</v>
      </c>
      <c r="G8" s="4">
        <v>550</v>
      </c>
    </row>
    <row r="9" spans="1:7" ht="12.75">
      <c r="A9" s="2" t="s">
        <v>59</v>
      </c>
      <c r="C9" s="4">
        <v>1200</v>
      </c>
      <c r="D9" s="4">
        <v>1200</v>
      </c>
      <c r="E9" s="4">
        <v>1200</v>
      </c>
      <c r="F9" s="4">
        <v>1275</v>
      </c>
      <c r="G9" s="4">
        <v>1275</v>
      </c>
    </row>
    <row r="10" spans="1:7" ht="12.75">
      <c r="A10" s="2" t="s">
        <v>4</v>
      </c>
      <c r="C10" s="4">
        <f>ROUND(C6*C8,2)+ROUND(C7*C9,2)</f>
        <v>697500</v>
      </c>
      <c r="D10" s="4">
        <f>ROUND(D6*D8,2)+ROUND(D7*D9,2)</f>
        <v>760650</v>
      </c>
      <c r="E10" s="4">
        <f>ROUND(E6*E8,2)+ROUND(E7*E9,2)</f>
        <v>829875</v>
      </c>
      <c r="F10" s="4">
        <f>ROUND(F6*F8,2)+ROUND(F7*F9,2)</f>
        <v>955025</v>
      </c>
      <c r="G10" s="4">
        <f>ROUND(G6*G8,2)+ROUND(G7*G9,2)</f>
        <v>1041875</v>
      </c>
    </row>
    <row r="11" spans="1:7" ht="12.75">
      <c r="A11" s="2" t="s">
        <v>5</v>
      </c>
      <c r="B11" s="4"/>
      <c r="C11" s="4">
        <f>-(ROUND(C6*$E$106,2)+ROUND(C7*$F$106,2))</f>
        <v>-511000</v>
      </c>
      <c r="D11" s="4">
        <f>-(ROUND(D6*$E$106,2)+ROUND(D7*$F$106,2))</f>
        <v>-558250</v>
      </c>
      <c r="E11" s="4">
        <f>-(ROUND(E6*$E$106,2)+ROUND(E7*$F$106,2))</f>
        <v>-610085</v>
      </c>
      <c r="F11" s="4">
        <f>-(ROUND(F6*$E$106,2)+ROUND(F7*$F$106,2))</f>
        <v>-666960</v>
      </c>
      <c r="G11" s="4">
        <f>-(ROUND(G6*$E$106,2)+ROUND(G7*$F$106,2))</f>
        <v>-728875</v>
      </c>
    </row>
    <row r="12" spans="1:7" ht="12.75">
      <c r="A12" s="2" t="s">
        <v>60</v>
      </c>
      <c r="B12" s="4"/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ht="12.75">
      <c r="A13" s="2" t="s">
        <v>6</v>
      </c>
      <c r="B13" s="4"/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ht="12.75">
      <c r="A14" s="2" t="s">
        <v>7</v>
      </c>
      <c r="C14" s="4">
        <f>ROUND($B$23*0.05,2)+ROUND($B$24*0.2,2)+ROUND($B$25*0.25,2)</f>
        <v>-64500</v>
      </c>
      <c r="D14" s="4">
        <f>ROUND($B$23*0.05,2)+ROUND($B$24*0.2,2)+ROUND($B$25*0.25,2)</f>
        <v>-64500</v>
      </c>
      <c r="E14" s="4">
        <f>ROUND($B$23*0.05,2)+ROUND($B$24*0.2,2)+ROUND($B$25*0.25,2)</f>
        <v>-64500</v>
      </c>
      <c r="F14" s="4">
        <f>ROUND($B$23*0.05,2)+ROUND($B$24*0.2,2)+ROUND($B$25*0.25,2)</f>
        <v>-64500</v>
      </c>
      <c r="G14" s="4">
        <f>ROUND($B$23*0.05,2)+ROUND($B$24*0.2,2)</f>
        <v>-58250</v>
      </c>
    </row>
    <row r="15" spans="1:7" ht="12.75">
      <c r="A15" s="2" t="s">
        <v>8</v>
      </c>
      <c r="C15" s="4">
        <f>ROUND($B$27/5,2)</f>
        <v>0</v>
      </c>
      <c r="D15" s="4">
        <f>ROUND($B$27/5,2)</f>
        <v>0</v>
      </c>
      <c r="E15" s="4">
        <f>ROUND($B$27/5,2)</f>
        <v>0</v>
      </c>
      <c r="F15" s="4">
        <f>ROUND($B$27/5,2)</f>
        <v>0</v>
      </c>
      <c r="G15" s="4">
        <f>ROUND($B$27/5,2)</f>
        <v>0</v>
      </c>
    </row>
    <row r="16" spans="1:7" ht="12.75">
      <c r="A16" s="2" t="s">
        <v>61</v>
      </c>
      <c r="C16" s="4">
        <v>-20000</v>
      </c>
      <c r="D16" s="4">
        <v>-20000</v>
      </c>
      <c r="E16" s="4">
        <v>-20000</v>
      </c>
      <c r="F16" s="4">
        <v>-20000</v>
      </c>
      <c r="G16" s="4">
        <v>-20000</v>
      </c>
    </row>
    <row r="17" spans="1:7" ht="13.5" thickBot="1">
      <c r="A17" s="2" t="s">
        <v>9</v>
      </c>
      <c r="C17" s="5">
        <f>-C90</f>
        <v>-21000</v>
      </c>
      <c r="D17" s="5">
        <f>-C91</f>
        <v>-16800</v>
      </c>
      <c r="E17" s="5">
        <f>-C92</f>
        <v>-12600</v>
      </c>
      <c r="F17" s="5">
        <f>-C93</f>
        <v>-8400</v>
      </c>
      <c r="G17" s="5">
        <f>-C94</f>
        <v>-4200</v>
      </c>
    </row>
    <row r="18" spans="1:7" ht="12.75">
      <c r="A18" s="2" t="s">
        <v>10</v>
      </c>
      <c r="C18" s="4">
        <f>SUM(C10:C17)</f>
        <v>81000</v>
      </c>
      <c r="D18" s="4">
        <f>SUM(D10:D17)</f>
        <v>101100</v>
      </c>
      <c r="E18" s="4">
        <f>SUM(E10:E17)</f>
        <v>122690</v>
      </c>
      <c r="F18" s="4">
        <f>SUM(F10:F17)</f>
        <v>195165</v>
      </c>
      <c r="G18" s="4">
        <f>SUM(G10:G17)</f>
        <v>230550</v>
      </c>
    </row>
    <row r="19" spans="1:7" ht="13.5" thickBot="1">
      <c r="A19" s="2" t="s">
        <v>11</v>
      </c>
      <c r="C19" s="5">
        <f>-ROUND(C18*0.28,2)</f>
        <v>-22680</v>
      </c>
      <c r="D19" s="5">
        <f>-ROUND(D18*0.28,2)</f>
        <v>-28308</v>
      </c>
      <c r="E19" s="5">
        <f>-ROUND(E18*0.28,2)</f>
        <v>-34353.2</v>
      </c>
      <c r="F19" s="5">
        <f>-ROUND(F18*0.28,2)</f>
        <v>-54646.2</v>
      </c>
      <c r="G19" s="5">
        <f>-ROUND(G18*0.28,2)</f>
        <v>-64554</v>
      </c>
    </row>
    <row r="20" spans="1:7" ht="12.75">
      <c r="A20" s="2" t="s">
        <v>12</v>
      </c>
      <c r="C20" s="4">
        <f>SUM(C18:C19)</f>
        <v>58320</v>
      </c>
      <c r="D20" s="4">
        <f>SUM(D18:D19)</f>
        <v>72792</v>
      </c>
      <c r="E20" s="4">
        <f>SUM(E18:E19)</f>
        <v>88336.8</v>
      </c>
      <c r="F20" s="4">
        <f>SUM(F18:F19)</f>
        <v>140518.8</v>
      </c>
      <c r="G20" s="4">
        <f>SUM(G18:G19)</f>
        <v>165996</v>
      </c>
    </row>
    <row r="21" spans="1:7" ht="12.75">
      <c r="A21" s="2" t="s">
        <v>7</v>
      </c>
      <c r="B21" s="4"/>
      <c r="C21" s="4">
        <f aca="true" t="shared" si="0" ref="C21:G22">-C14</f>
        <v>64500</v>
      </c>
      <c r="D21" s="4">
        <f t="shared" si="0"/>
        <v>64500</v>
      </c>
      <c r="E21" s="4">
        <f t="shared" si="0"/>
        <v>64500</v>
      </c>
      <c r="F21" s="4">
        <f t="shared" si="0"/>
        <v>64500</v>
      </c>
      <c r="G21" s="4">
        <f t="shared" si="0"/>
        <v>58250</v>
      </c>
    </row>
    <row r="22" spans="1:7" ht="12.75">
      <c r="A22" s="2" t="s">
        <v>8</v>
      </c>
      <c r="B22" s="4"/>
      <c r="C22" s="4">
        <f t="shared" si="0"/>
        <v>0</v>
      </c>
      <c r="D22" s="4">
        <f t="shared" si="0"/>
        <v>0</v>
      </c>
      <c r="E22" s="4">
        <f t="shared" si="0"/>
        <v>0</v>
      </c>
      <c r="F22" s="4">
        <f t="shared" si="0"/>
        <v>0</v>
      </c>
      <c r="G22" s="4">
        <f t="shared" si="0"/>
        <v>0</v>
      </c>
    </row>
    <row r="23" spans="1:3" ht="12.75">
      <c r="A23" s="2" t="s">
        <v>14</v>
      </c>
      <c r="B23" s="4">
        <v>-125000</v>
      </c>
      <c r="C23" s="30"/>
    </row>
    <row r="24" spans="1:3" ht="12.75">
      <c r="A24" s="2" t="s">
        <v>62</v>
      </c>
      <c r="B24" s="4">
        <v>-260000</v>
      </c>
      <c r="C24" s="30"/>
    </row>
    <row r="25" spans="1:3" ht="12.75">
      <c r="A25" s="2" t="s">
        <v>63</v>
      </c>
      <c r="B25" s="4">
        <v>-25000</v>
      </c>
      <c r="C25" s="30"/>
    </row>
    <row r="26" spans="1:2" ht="12.75">
      <c r="A26" s="2" t="s">
        <v>16</v>
      </c>
      <c r="B26" s="4">
        <v>-45000</v>
      </c>
    </row>
    <row r="27" spans="1:2" ht="12.75">
      <c r="A27" s="2" t="s">
        <v>17</v>
      </c>
      <c r="B27" s="4">
        <v>0</v>
      </c>
    </row>
    <row r="28" spans="1:7" ht="12.75">
      <c r="A28" s="2" t="s">
        <v>64</v>
      </c>
      <c r="B28" s="4"/>
      <c r="G28" s="4">
        <v>145000</v>
      </c>
    </row>
    <row r="29" spans="1:2" ht="12.75">
      <c r="A29" s="2" t="s">
        <v>20</v>
      </c>
      <c r="B29" s="4">
        <v>150000</v>
      </c>
    </row>
    <row r="30" spans="1:7" ht="12.75" customHeight="1" thickBot="1">
      <c r="A30" s="2" t="s">
        <v>21</v>
      </c>
      <c r="B30" s="5"/>
      <c r="C30" s="5">
        <f>-D90</f>
        <v>-30000</v>
      </c>
      <c r="D30" s="5">
        <f>-D91</f>
        <v>-30000</v>
      </c>
      <c r="E30" s="5">
        <f>-D92</f>
        <v>-30000</v>
      </c>
      <c r="F30" s="5">
        <f>-D93</f>
        <v>-30000</v>
      </c>
      <c r="G30" s="5">
        <f>-D94</f>
        <v>-30000</v>
      </c>
    </row>
    <row r="31" spans="1:7" ht="12.75" customHeight="1">
      <c r="A31" s="2" t="s">
        <v>22</v>
      </c>
      <c r="B31" s="4">
        <f>SUM(B21:B30)</f>
        <v>-305000</v>
      </c>
      <c r="C31" s="4">
        <f>SUM(C20:C30)</f>
        <v>92820</v>
      </c>
      <c r="D31" s="4">
        <f>SUM(D20:D30)</f>
        <v>107292</v>
      </c>
      <c r="E31" s="4">
        <f>SUM(E20:E30)</f>
        <v>122836.79999999999</v>
      </c>
      <c r="F31" s="4">
        <f>SUM(F20:F30)</f>
        <v>175018.8</v>
      </c>
      <c r="G31" s="4">
        <f>SUM(G20:G30)</f>
        <v>339246</v>
      </c>
    </row>
    <row r="32" spans="2:7" ht="12.75" customHeight="1">
      <c r="B32" s="4">
        <f>ROUND(B31*(1.25^-B5),2)</f>
        <v>-305000</v>
      </c>
      <c r="C32" s="4">
        <f>ROUND(C31*((1+$B$33)^-C5),2)</f>
        <v>74256</v>
      </c>
      <c r="D32" s="4">
        <f>ROUND(D31*((1+$B$33)^-D5),2)</f>
        <v>68666.88</v>
      </c>
      <c r="E32" s="4">
        <f>ROUND(E31*((1+$B$33)^-E5),2)</f>
        <v>62892.44</v>
      </c>
      <c r="F32" s="4">
        <f>ROUND(F31*((1+$B$33)^-F5),2)</f>
        <v>71687.7</v>
      </c>
      <c r="G32" s="4">
        <f>ROUND(G31*((1+$B$33)^-G5),2)</f>
        <v>111164.13</v>
      </c>
    </row>
    <row r="33" spans="1:2" ht="12.75" customHeight="1">
      <c r="A33" s="2" t="s">
        <v>24</v>
      </c>
      <c r="B33" s="6">
        <v>0.25</v>
      </c>
    </row>
    <row r="34" spans="1:2" ht="12.75" customHeight="1">
      <c r="A34" s="10" t="s">
        <v>25</v>
      </c>
      <c r="B34" s="11">
        <f>SUM(B32:G32)</f>
        <v>83667.15000000001</v>
      </c>
    </row>
    <row r="35" spans="1:2" ht="12.75" customHeight="1">
      <c r="A35" s="10"/>
      <c r="B35" s="36"/>
    </row>
    <row r="36" spans="1:7" ht="12.75" customHeight="1" thickBot="1">
      <c r="A36" s="8"/>
      <c r="B36" s="9"/>
      <c r="C36" s="8"/>
      <c r="D36" s="8"/>
      <c r="E36" s="8"/>
      <c r="F36" s="8"/>
      <c r="G36" s="8"/>
    </row>
    <row r="37" spans="1:7" ht="12.75" customHeight="1">
      <c r="A37" s="49" t="s">
        <v>27</v>
      </c>
      <c r="B37" s="49"/>
      <c r="C37" s="49"/>
      <c r="D37" s="49"/>
      <c r="E37" s="49"/>
      <c r="F37" s="49"/>
      <c r="G37" s="49"/>
    </row>
    <row r="38" spans="1:7" ht="12.75" customHeight="1">
      <c r="A38" s="2" t="s">
        <v>4</v>
      </c>
      <c r="C38" s="4">
        <f>C10</f>
        <v>697500</v>
      </c>
      <c r="D38" s="4">
        <f>D10</f>
        <v>760650</v>
      </c>
      <c r="E38" s="4">
        <f>E10</f>
        <v>829875</v>
      </c>
      <c r="F38" s="4">
        <f>F10</f>
        <v>955025</v>
      </c>
      <c r="G38" s="4">
        <f>G10</f>
        <v>1041875</v>
      </c>
    </row>
    <row r="39" spans="1:2" ht="12.75" customHeight="1">
      <c r="A39" s="2" t="s">
        <v>20</v>
      </c>
      <c r="B39" s="4">
        <f>B29</f>
        <v>150000</v>
      </c>
    </row>
    <row r="40" spans="1:7" ht="12.75" customHeight="1">
      <c r="A40" s="2" t="s">
        <v>65</v>
      </c>
      <c r="G40" s="4">
        <f>G28</f>
        <v>145000</v>
      </c>
    </row>
    <row r="41" spans="1:7" ht="12.75" customHeight="1">
      <c r="A41" s="2" t="s">
        <v>30</v>
      </c>
      <c r="B41" s="4">
        <f>SUM(B38:B40)</f>
        <v>150000</v>
      </c>
      <c r="C41" s="4">
        <f aca="true" t="shared" si="1" ref="B41:G41">SUM(C38:C40)</f>
        <v>697500</v>
      </c>
      <c r="D41" s="4">
        <f t="shared" si="1"/>
        <v>760650</v>
      </c>
      <c r="E41" s="4">
        <f t="shared" si="1"/>
        <v>829875</v>
      </c>
      <c r="F41" s="4">
        <f t="shared" si="1"/>
        <v>955025</v>
      </c>
      <c r="G41" s="4">
        <f t="shared" si="1"/>
        <v>1186875</v>
      </c>
    </row>
    <row r="42" spans="1:7" ht="12.75" customHeight="1">
      <c r="A42" s="2" t="s">
        <v>31</v>
      </c>
      <c r="B42" s="4">
        <f aca="true" t="shared" si="2" ref="B42:G42">ROUND(B41*((1+$B$33)^-B5),2)</f>
        <v>150000</v>
      </c>
      <c r="C42" s="4">
        <f t="shared" si="2"/>
        <v>558000</v>
      </c>
      <c r="D42" s="4">
        <f t="shared" si="2"/>
        <v>486816</v>
      </c>
      <c r="E42" s="4">
        <f t="shared" si="2"/>
        <v>424896</v>
      </c>
      <c r="F42" s="4">
        <f t="shared" si="2"/>
        <v>391178.24</v>
      </c>
      <c r="G42" s="4">
        <f t="shared" si="2"/>
        <v>388915.2</v>
      </c>
    </row>
    <row r="43" spans="1:7" ht="12.75" customHeight="1">
      <c r="A43" s="10" t="s">
        <v>32</v>
      </c>
      <c r="G43" s="11">
        <f>SUM(B42:G42)</f>
        <v>2399805.44</v>
      </c>
    </row>
    <row r="44" ht="12.75" customHeight="1">
      <c r="G44" s="4"/>
    </row>
    <row r="45" spans="1:7" ht="12.75" customHeight="1">
      <c r="A45" s="49" t="s">
        <v>33</v>
      </c>
      <c r="B45" s="49"/>
      <c r="C45" s="49"/>
      <c r="D45" s="49"/>
      <c r="E45" s="49"/>
      <c r="F45" s="49"/>
      <c r="G45" s="49"/>
    </row>
    <row r="46" spans="1:7" ht="12.75" customHeight="1">
      <c r="A46" s="2" t="s">
        <v>5</v>
      </c>
      <c r="C46" s="4">
        <f>-C11</f>
        <v>511000</v>
      </c>
      <c r="D46" s="4">
        <f aca="true" t="shared" si="3" ref="C46:G48">-D11</f>
        <v>558250</v>
      </c>
      <c r="E46" s="4">
        <f t="shared" si="3"/>
        <v>610085</v>
      </c>
      <c r="F46" s="4">
        <f t="shared" si="3"/>
        <v>666960</v>
      </c>
      <c r="G46" s="4">
        <f t="shared" si="3"/>
        <v>728875</v>
      </c>
    </row>
    <row r="47" spans="1:7" ht="12.75" customHeight="1">
      <c r="A47" s="2" t="s">
        <v>66</v>
      </c>
      <c r="C47" s="4">
        <f t="shared" si="3"/>
        <v>0</v>
      </c>
      <c r="D47" s="4">
        <f t="shared" si="3"/>
        <v>0</v>
      </c>
      <c r="E47" s="4">
        <f t="shared" si="3"/>
        <v>0</v>
      </c>
      <c r="F47" s="4">
        <f t="shared" si="3"/>
        <v>0</v>
      </c>
      <c r="G47" s="4">
        <f t="shared" si="3"/>
        <v>0</v>
      </c>
    </row>
    <row r="48" spans="1:7" ht="12.75" customHeight="1">
      <c r="A48" s="2" t="s">
        <v>6</v>
      </c>
      <c r="C48" s="4">
        <f t="shared" si="3"/>
        <v>0</v>
      </c>
      <c r="D48" s="4">
        <f t="shared" si="3"/>
        <v>0</v>
      </c>
      <c r="E48" s="4">
        <f t="shared" si="3"/>
        <v>0</v>
      </c>
      <c r="F48" s="4">
        <f t="shared" si="3"/>
        <v>0</v>
      </c>
      <c r="G48" s="4">
        <f t="shared" si="3"/>
        <v>0</v>
      </c>
    </row>
    <row r="49" spans="1:7" ht="12.75" customHeight="1">
      <c r="A49" s="2" t="s">
        <v>61</v>
      </c>
      <c r="C49" s="4">
        <f>-C16</f>
        <v>20000</v>
      </c>
      <c r="D49" s="4">
        <f aca="true" t="shared" si="4" ref="C49:G50">-D16</f>
        <v>20000</v>
      </c>
      <c r="E49" s="4">
        <f t="shared" si="4"/>
        <v>20000</v>
      </c>
      <c r="F49" s="4">
        <f t="shared" si="4"/>
        <v>20000</v>
      </c>
      <c r="G49" s="4">
        <f t="shared" si="4"/>
        <v>20000</v>
      </c>
    </row>
    <row r="50" spans="1:7" ht="12.75" customHeight="1">
      <c r="A50" s="2" t="s">
        <v>34</v>
      </c>
      <c r="C50" s="4">
        <f t="shared" si="4"/>
        <v>21000</v>
      </c>
      <c r="D50" s="4">
        <f t="shared" si="4"/>
        <v>16800</v>
      </c>
      <c r="E50" s="4">
        <f t="shared" si="4"/>
        <v>12600</v>
      </c>
      <c r="F50" s="4">
        <f t="shared" si="4"/>
        <v>8400</v>
      </c>
      <c r="G50" s="4">
        <f t="shared" si="4"/>
        <v>4200</v>
      </c>
    </row>
    <row r="51" spans="1:7" ht="12.75" customHeight="1">
      <c r="A51" s="2" t="s">
        <v>35</v>
      </c>
      <c r="C51" s="4">
        <f>-C19</f>
        <v>22680</v>
      </c>
      <c r="D51" s="4">
        <f>-D19</f>
        <v>28308</v>
      </c>
      <c r="E51" s="4">
        <f>-E19</f>
        <v>34353.2</v>
      </c>
      <c r="F51" s="4">
        <f>-F19</f>
        <v>54646.2</v>
      </c>
      <c r="G51" s="4">
        <f>-G19</f>
        <v>64554</v>
      </c>
    </row>
    <row r="52" spans="1:2" ht="12.75" customHeight="1">
      <c r="A52" s="2" t="s">
        <v>15</v>
      </c>
      <c r="B52" s="4">
        <f>-SUM(B23:B25)</f>
        <v>410000</v>
      </c>
    </row>
    <row r="53" spans="1:2" ht="12.75" customHeight="1">
      <c r="A53" s="2" t="s">
        <v>17</v>
      </c>
      <c r="B53" s="4">
        <f>-B27</f>
        <v>0</v>
      </c>
    </row>
    <row r="54" spans="1:2" ht="12.75" customHeight="1">
      <c r="A54" s="2" t="s">
        <v>36</v>
      </c>
      <c r="B54" s="4">
        <f>-B26</f>
        <v>45000</v>
      </c>
    </row>
    <row r="55" spans="1:7" ht="12.75" customHeight="1">
      <c r="A55" s="2" t="s">
        <v>37</v>
      </c>
      <c r="C55" s="4">
        <f>-C30</f>
        <v>30000</v>
      </c>
      <c r="D55" s="4">
        <f>-D30</f>
        <v>30000</v>
      </c>
      <c r="E55" s="4">
        <f>-E30</f>
        <v>30000</v>
      </c>
      <c r="F55" s="4">
        <f>-F30</f>
        <v>30000</v>
      </c>
      <c r="G55" s="4">
        <f>-G30</f>
        <v>30000</v>
      </c>
    </row>
    <row r="56" spans="1:7" ht="12.75" customHeight="1">
      <c r="A56" s="2" t="s">
        <v>38</v>
      </c>
      <c r="B56" s="4">
        <f aca="true" t="shared" si="5" ref="B56:G56">SUM(B46:B55)</f>
        <v>455000</v>
      </c>
      <c r="C56" s="4">
        <f t="shared" si="5"/>
        <v>604680</v>
      </c>
      <c r="D56" s="4">
        <f t="shared" si="5"/>
        <v>653358</v>
      </c>
      <c r="E56" s="4">
        <f t="shared" si="5"/>
        <v>707038.2</v>
      </c>
      <c r="F56" s="4">
        <f t="shared" si="5"/>
        <v>780006.2</v>
      </c>
      <c r="G56" s="4">
        <f t="shared" si="5"/>
        <v>847629</v>
      </c>
    </row>
    <row r="57" spans="1:7" ht="12.75" customHeight="1">
      <c r="A57" s="2" t="s">
        <v>39</v>
      </c>
      <c r="B57" s="4">
        <f>ROUND(B56*((1+$B$33)^-B5),2)</f>
        <v>455000</v>
      </c>
      <c r="C57" s="4">
        <f>ROUND(C56*((1+$B$33)^-C5),2)</f>
        <v>483744</v>
      </c>
      <c r="D57" s="4">
        <f aca="true" t="shared" si="6" ref="B57:G57">ROUND(D56*((1+$B$33)^-D5),2)</f>
        <v>418149.12</v>
      </c>
      <c r="E57" s="4">
        <f t="shared" si="6"/>
        <v>362003.56</v>
      </c>
      <c r="F57" s="4">
        <f t="shared" si="6"/>
        <v>319490.54</v>
      </c>
      <c r="G57" s="4">
        <f t="shared" si="6"/>
        <v>277751.07</v>
      </c>
    </row>
    <row r="58" spans="1:7" ht="12.75" customHeight="1">
      <c r="A58" s="10" t="s">
        <v>40</v>
      </c>
      <c r="G58" s="11">
        <f>SUM(B57:G57)</f>
        <v>2316138.29</v>
      </c>
    </row>
    <row r="59" spans="1:4" ht="12.75" customHeight="1">
      <c r="A59" s="10" t="s">
        <v>41</v>
      </c>
      <c r="B59" s="4">
        <f>G43</f>
        <v>2399805.44</v>
      </c>
      <c r="C59" s="4">
        <f>G58</f>
        <v>2316138.29</v>
      </c>
      <c r="D59" s="10">
        <f>B59/C59</f>
        <v>1.0361235554721562</v>
      </c>
    </row>
    <row r="60" ht="12.75" customHeight="1"/>
    <row r="61" ht="12.75" customHeight="1"/>
    <row r="62" spans="1:7" ht="12.75" customHeight="1">
      <c r="A62" s="52" t="s">
        <v>47</v>
      </c>
      <c r="B62" s="52"/>
      <c r="C62" s="52"/>
      <c r="D62" s="52"/>
      <c r="E62" s="52"/>
      <c r="F62" s="52"/>
      <c r="G62" s="52"/>
    </row>
    <row r="63" ht="12.75" customHeight="1"/>
    <row r="64" ht="12.75" customHeight="1" thickBot="1"/>
    <row r="65" spans="1:9" ht="12.75" customHeight="1" thickBot="1">
      <c r="A65" s="13" t="s">
        <v>48</v>
      </c>
      <c r="B65" s="53">
        <v>0.25</v>
      </c>
      <c r="C65" s="54"/>
      <c r="D65" s="56">
        <v>30</v>
      </c>
      <c r="E65" s="57"/>
      <c r="F65" s="56">
        <v>35</v>
      </c>
      <c r="G65" s="57"/>
      <c r="H65" s="56">
        <v>40</v>
      </c>
      <c r="I65" s="57"/>
    </row>
    <row r="66" spans="1:9" ht="12.75" customHeight="1">
      <c r="A66" s="14">
        <f>B31</f>
        <v>-305000</v>
      </c>
      <c r="B66" s="15">
        <f>1.25^0</f>
        <v>1</v>
      </c>
      <c r="C66" s="16">
        <f aca="true" t="shared" si="7" ref="C66:C71">B66*A66</f>
        <v>-305000</v>
      </c>
      <c r="D66" s="15">
        <f>1.3^0</f>
        <v>1</v>
      </c>
      <c r="E66" s="16">
        <f aca="true" t="shared" si="8" ref="E66:E71">D66*A66</f>
        <v>-305000</v>
      </c>
      <c r="F66" s="15">
        <f>1.35^0</f>
        <v>1</v>
      </c>
      <c r="G66" s="16">
        <f aca="true" t="shared" si="9" ref="G66:G71">F66*A66</f>
        <v>-305000</v>
      </c>
      <c r="H66" s="15">
        <f>1.4^0</f>
        <v>1</v>
      </c>
      <c r="I66" s="16">
        <f aca="true" t="shared" si="10" ref="I66:I71">H66*C66</f>
        <v>-305000</v>
      </c>
    </row>
    <row r="67" spans="1:9" ht="12.75" customHeight="1">
      <c r="A67" s="17">
        <f>C31</f>
        <v>92820</v>
      </c>
      <c r="B67" s="18">
        <f>1.25^-1</f>
        <v>0.8</v>
      </c>
      <c r="C67" s="16">
        <f>B67*A67</f>
        <v>74256</v>
      </c>
      <c r="D67" s="18">
        <f>1.3^-1</f>
        <v>0.7692307692307692</v>
      </c>
      <c r="E67" s="16">
        <f>D67*A67</f>
        <v>71400</v>
      </c>
      <c r="F67" s="18">
        <f>1.35^-1</f>
        <v>0.7407407407407407</v>
      </c>
      <c r="G67" s="16">
        <f>F67*A67</f>
        <v>68755.55555555555</v>
      </c>
      <c r="H67" s="18">
        <f>1.4^-1</f>
        <v>0.7142857142857143</v>
      </c>
      <c r="I67" s="16">
        <f>H67*A67</f>
        <v>66300</v>
      </c>
    </row>
    <row r="68" spans="1:9" ht="12.75" customHeight="1">
      <c r="A68" s="19">
        <f>D31</f>
        <v>107292</v>
      </c>
      <c r="B68" s="18">
        <f>1.25^-2</f>
        <v>0.64</v>
      </c>
      <c r="C68" s="16">
        <f>B68*A68</f>
        <v>68666.88</v>
      </c>
      <c r="D68" s="18">
        <f>1.3^-2</f>
        <v>0.5917159763313609</v>
      </c>
      <c r="E68" s="16">
        <f>D68*A68</f>
        <v>63486.39053254437</v>
      </c>
      <c r="F68" s="18">
        <f>1.35^-2</f>
        <v>0.5486968449931412</v>
      </c>
      <c r="G68" s="16">
        <f>F68*A68</f>
        <v>58870.7818930041</v>
      </c>
      <c r="H68" s="18">
        <f>1.4^-2</f>
        <v>0.5102040816326532</v>
      </c>
      <c r="I68" s="16">
        <f>H68*A68</f>
        <v>54740.81632653063</v>
      </c>
    </row>
    <row r="69" spans="1:9" ht="12.75" customHeight="1">
      <c r="A69" s="19">
        <f>E31</f>
        <v>122836.79999999999</v>
      </c>
      <c r="B69" s="18">
        <f>1.25^-3</f>
        <v>0.512</v>
      </c>
      <c r="C69" s="16">
        <f>B69*A69</f>
        <v>62892.4416</v>
      </c>
      <c r="D69" s="18">
        <f>1.3^-3</f>
        <v>0.4551661356395083</v>
      </c>
      <c r="E69" s="16">
        <f>D69*A69</f>
        <v>55911.15157032315</v>
      </c>
      <c r="F69" s="18">
        <f>1.35^-3</f>
        <v>0.40644210740232684</v>
      </c>
      <c r="G69" s="16">
        <f>F69*A69</f>
        <v>49926.04785855814</v>
      </c>
      <c r="H69" s="18">
        <f>1.4^-3</f>
        <v>0.36443148688046656</v>
      </c>
      <c r="I69" s="16">
        <f>H69*A69</f>
        <v>44765.59766763849</v>
      </c>
    </row>
    <row r="70" spans="1:9" ht="12.75" customHeight="1">
      <c r="A70" s="19">
        <f>F31</f>
        <v>175018.8</v>
      </c>
      <c r="B70" s="18">
        <f>1.25^-4</f>
        <v>0.4096</v>
      </c>
      <c r="C70" s="16">
        <f>B70*A70</f>
        <v>71687.70048</v>
      </c>
      <c r="D70" s="18">
        <f>1.3^-4</f>
        <v>0.35012779664577565</v>
      </c>
      <c r="E70" s="16">
        <f>D70*A70</f>
        <v>61278.946815587675</v>
      </c>
      <c r="F70" s="18">
        <f>1.35^-4</f>
        <v>0.30106822770542724</v>
      </c>
      <c r="G70" s="16">
        <f>F70*A70</f>
        <v>52692.59993113062</v>
      </c>
      <c r="H70" s="18">
        <f>1.4^-4</f>
        <v>0.260308204914619</v>
      </c>
      <c r="I70" s="16">
        <f>H70*A70</f>
        <v>45558.82965431071</v>
      </c>
    </row>
    <row r="71" spans="1:9" ht="12.75" customHeight="1" thickBot="1">
      <c r="A71" s="20">
        <f>G31</f>
        <v>339246</v>
      </c>
      <c r="B71" s="21">
        <f>1.25^-5</f>
        <v>0.32768</v>
      </c>
      <c r="C71" s="22">
        <f>B71*A71</f>
        <v>111164.12928000001</v>
      </c>
      <c r="D71" s="21">
        <f>1.3^-5</f>
        <v>0.2693290743429043</v>
      </c>
      <c r="E71" s="16">
        <f>D71*A71</f>
        <v>91368.81115453292</v>
      </c>
      <c r="F71" s="21">
        <f>1.35^-5</f>
        <v>0.22301350200402015</v>
      </c>
      <c r="G71" s="16">
        <f>F71*A71</f>
        <v>75656.43850085582</v>
      </c>
      <c r="H71" s="18">
        <f>1.4^-5</f>
        <v>0.18593443208187072</v>
      </c>
      <c r="I71" s="16">
        <f>H71*A71</f>
        <v>63077.512346046315</v>
      </c>
    </row>
    <row r="72" spans="1:9" ht="12.75" customHeight="1" thickBot="1" thickTop="1">
      <c r="A72" s="23" t="s">
        <v>49</v>
      </c>
      <c r="B72" s="24"/>
      <c r="C72" s="25">
        <f>SUM(C66:C71)</f>
        <v>83667.15136</v>
      </c>
      <c r="D72" s="24"/>
      <c r="E72" s="35">
        <f>SUM(E66:E71)</f>
        <v>38445.300072988124</v>
      </c>
      <c r="F72" s="24"/>
      <c r="G72" s="35">
        <f>SUM(G66:G71)</f>
        <v>901.4237391042407</v>
      </c>
      <c r="H72" s="24"/>
      <c r="I72" s="35">
        <f>SUM(I66:I71)</f>
        <v>-30557.244005473876</v>
      </c>
    </row>
    <row r="73" spans="1:9" ht="12.75" customHeight="1" thickTop="1">
      <c r="A73" s="15"/>
      <c r="B73" s="15"/>
      <c r="C73" s="15"/>
      <c r="D73" s="15"/>
      <c r="E73" s="15"/>
      <c r="F73" s="15"/>
      <c r="G73" s="16"/>
      <c r="H73" s="15"/>
      <c r="I73" s="16"/>
    </row>
    <row r="74" ht="12.75" customHeight="1">
      <c r="D74" s="26"/>
    </row>
    <row r="75" spans="1:6" ht="12.75" customHeight="1" thickBot="1">
      <c r="A75" s="12" t="s">
        <v>50</v>
      </c>
      <c r="B75" s="27">
        <v>35</v>
      </c>
      <c r="C75" s="3" t="s">
        <v>99</v>
      </c>
      <c r="D75" s="51">
        <f>G72</f>
        <v>901.4237391042407</v>
      </c>
      <c r="E75" s="51"/>
      <c r="F75" s="28"/>
    </row>
    <row r="76" spans="2:5" ht="12.75" customHeight="1">
      <c r="B76" s="27"/>
      <c r="D76" s="29">
        <f>D75</f>
        <v>901.4237391042407</v>
      </c>
      <c r="E76" s="29">
        <f>I72</f>
        <v>-30557.244005473876</v>
      </c>
    </row>
    <row r="77" ht="12.75" customHeight="1">
      <c r="B77" s="27"/>
    </row>
    <row r="78" spans="1:4" ht="12.75" customHeight="1">
      <c r="A78" s="12" t="s">
        <v>50</v>
      </c>
      <c r="B78" s="27">
        <f>B75</f>
        <v>35</v>
      </c>
      <c r="C78" s="27">
        <f>F65-D65</f>
        <v>5</v>
      </c>
      <c r="D78" s="30">
        <f>D75</f>
        <v>901.4237391042407</v>
      </c>
    </row>
    <row r="79" spans="2:4" ht="12.75" customHeight="1">
      <c r="B79" s="27"/>
      <c r="D79" s="30">
        <f>D76-E76</f>
        <v>31458.667744578117</v>
      </c>
    </row>
    <row r="80" ht="12.75" customHeight="1">
      <c r="B80" s="27"/>
    </row>
    <row r="81" spans="1:3" ht="12.75" customHeight="1">
      <c r="A81" s="12" t="str">
        <f>A78</f>
        <v>TIR=</v>
      </c>
      <c r="B81" s="27">
        <f>B78</f>
        <v>35</v>
      </c>
      <c r="C81" s="2">
        <f>C78*D78/D79</f>
        <v>0.1432711242610712</v>
      </c>
    </row>
    <row r="82" ht="12.75" customHeight="1">
      <c r="D82" s="10"/>
    </row>
    <row r="83" spans="1:8" ht="12.75" customHeight="1">
      <c r="A83" s="31" t="str">
        <f>A81</f>
        <v>TIR=</v>
      </c>
      <c r="B83" s="32">
        <f>B81+C81</f>
        <v>35.14327112426107</v>
      </c>
      <c r="C83" s="2" t="s">
        <v>52</v>
      </c>
      <c r="D83" s="55"/>
      <c r="E83" s="55"/>
      <c r="F83" s="55"/>
      <c r="G83" s="55"/>
      <c r="H83" s="55"/>
    </row>
    <row r="84" ht="12.75" customHeight="1"/>
    <row r="85" ht="12.75" customHeight="1"/>
    <row r="86" ht="12.75" customHeight="1"/>
    <row r="87" spans="2:5" ht="12.75" customHeight="1">
      <c r="B87" s="49" t="s">
        <v>42</v>
      </c>
      <c r="C87" s="49"/>
      <c r="D87" s="49"/>
      <c r="E87" s="49"/>
    </row>
    <row r="88" spans="1:5" ht="12.75" customHeight="1">
      <c r="A88" s="12" t="s">
        <v>43</v>
      </c>
      <c r="B88" s="3" t="s">
        <v>67</v>
      </c>
      <c r="C88" s="3" t="s">
        <v>45</v>
      </c>
      <c r="D88" s="3" t="s">
        <v>68</v>
      </c>
      <c r="E88" s="3" t="s">
        <v>69</v>
      </c>
    </row>
    <row r="89" spans="2:5" ht="12.75" customHeight="1">
      <c r="B89" s="2" t="s">
        <v>46</v>
      </c>
      <c r="D89" s="4"/>
      <c r="E89" s="4">
        <v>150000</v>
      </c>
    </row>
    <row r="90" spans="1:5" ht="12.75" customHeight="1">
      <c r="A90" s="2">
        <v>1</v>
      </c>
      <c r="B90" s="4">
        <f>SUM(C90:D90)</f>
        <v>51000</v>
      </c>
      <c r="C90" s="4">
        <f>ROUND(E89*0.14,2)</f>
        <v>21000</v>
      </c>
      <c r="D90" s="4">
        <v>30000</v>
      </c>
      <c r="E90" s="4">
        <f>E89-D90</f>
        <v>120000</v>
      </c>
    </row>
    <row r="91" spans="1:5" ht="12.75" customHeight="1">
      <c r="A91" s="2">
        <v>2</v>
      </c>
      <c r="B91" s="4">
        <f>SUM(C91:D91)</f>
        <v>46800</v>
      </c>
      <c r="C91" s="4">
        <f>ROUND(E90*0.14,2)</f>
        <v>16800</v>
      </c>
      <c r="D91" s="4">
        <v>30000</v>
      </c>
      <c r="E91" s="4">
        <f>E90-D91</f>
        <v>90000</v>
      </c>
    </row>
    <row r="92" spans="1:5" ht="12.75" customHeight="1">
      <c r="A92" s="2">
        <v>3</v>
      </c>
      <c r="B92" s="4">
        <f>SUM(C92:D92)</f>
        <v>42600</v>
      </c>
      <c r="C92" s="4">
        <f>ROUND(E91*0.14,2)</f>
        <v>12600</v>
      </c>
      <c r="D92" s="4">
        <v>30000</v>
      </c>
      <c r="E92" s="4">
        <f>E91-D92</f>
        <v>60000</v>
      </c>
    </row>
    <row r="93" spans="1:5" ht="12.75" customHeight="1">
      <c r="A93" s="2">
        <v>4</v>
      </c>
      <c r="B93" s="4">
        <f>SUM(C93:D93)</f>
        <v>38400</v>
      </c>
      <c r="C93" s="4">
        <f>ROUND(E92*0.14,2)</f>
        <v>8400</v>
      </c>
      <c r="D93" s="4">
        <v>30000</v>
      </c>
      <c r="E93" s="4">
        <f>E92-D93</f>
        <v>30000</v>
      </c>
    </row>
    <row r="94" spans="1:5" ht="12.75" customHeight="1">
      <c r="A94" s="2">
        <v>5</v>
      </c>
      <c r="B94" s="4">
        <f>SUM(C94:D94)</f>
        <v>34200</v>
      </c>
      <c r="C94" s="4">
        <f>ROUND(E93*0.14,2)</f>
        <v>4200</v>
      </c>
      <c r="D94" s="4">
        <v>30000</v>
      </c>
      <c r="E94" s="4">
        <f>E93-D94</f>
        <v>0</v>
      </c>
    </row>
    <row r="95" spans="2:5" ht="12.75" customHeight="1">
      <c r="B95" s="4"/>
      <c r="C95" s="4"/>
      <c r="D95" s="4"/>
      <c r="E95" s="4"/>
    </row>
    <row r="96" spans="2:5" ht="12.75" customHeight="1">
      <c r="B96" s="4"/>
      <c r="C96" s="4"/>
      <c r="D96" s="4"/>
      <c r="E96" s="4"/>
    </row>
    <row r="97" spans="1:6" ht="12.75" customHeight="1">
      <c r="A97" s="2" t="s">
        <v>70</v>
      </c>
      <c r="B97" s="2" t="s">
        <v>71</v>
      </c>
      <c r="C97" s="3" t="s">
        <v>72</v>
      </c>
      <c r="D97" s="3" t="s">
        <v>73</v>
      </c>
      <c r="E97" s="3" t="s">
        <v>74</v>
      </c>
      <c r="F97" s="3" t="s">
        <v>75</v>
      </c>
    </row>
    <row r="98" spans="1:5" ht="12.75" customHeight="1">
      <c r="A98" s="2" t="s">
        <v>76</v>
      </c>
      <c r="B98" s="2" t="s">
        <v>77</v>
      </c>
      <c r="C98" s="4">
        <v>250</v>
      </c>
      <c r="D98" s="2">
        <v>0.5</v>
      </c>
      <c r="E98" s="4">
        <f>ROUND(C98*D98,2)</f>
        <v>125</v>
      </c>
    </row>
    <row r="99" spans="2:6" ht="12.75" customHeight="1">
      <c r="B99" s="2" t="s">
        <v>77</v>
      </c>
      <c r="C99" s="4">
        <v>250</v>
      </c>
      <c r="D99" s="2">
        <v>1</v>
      </c>
      <c r="F99" s="4">
        <f>ROUND(C99*D99,2)</f>
        <v>250</v>
      </c>
    </row>
    <row r="100" spans="1:5" ht="12.75" customHeight="1">
      <c r="A100" s="2" t="s">
        <v>78</v>
      </c>
      <c r="B100" s="2" t="s">
        <v>79</v>
      </c>
      <c r="C100" s="4">
        <v>95</v>
      </c>
      <c r="D100" s="2">
        <v>1</v>
      </c>
      <c r="E100" s="4">
        <f>ROUND(C100*D100,2)</f>
        <v>95</v>
      </c>
    </row>
    <row r="101" spans="2:6" ht="12.75" customHeight="1">
      <c r="B101" s="2" t="s">
        <v>79</v>
      </c>
      <c r="C101" s="4">
        <v>125</v>
      </c>
      <c r="D101" s="2">
        <v>1</v>
      </c>
      <c r="F101" s="4">
        <f>ROUND(C101*D101,2)</f>
        <v>125</v>
      </c>
    </row>
    <row r="102" spans="1:5" ht="12.75" customHeight="1">
      <c r="A102" s="2" t="s">
        <v>80</v>
      </c>
      <c r="B102" s="2" t="s">
        <v>79</v>
      </c>
      <c r="C102" s="4">
        <v>35</v>
      </c>
      <c r="D102" s="2">
        <v>1</v>
      </c>
      <c r="E102" s="4">
        <f>ROUND(C102*D102,2)</f>
        <v>35</v>
      </c>
    </row>
    <row r="103" spans="2:6" ht="12.75" customHeight="1">
      <c r="B103" s="2" t="s">
        <v>79</v>
      </c>
      <c r="C103" s="4">
        <v>50</v>
      </c>
      <c r="D103" s="2">
        <v>1</v>
      </c>
      <c r="F103" s="4">
        <f>ROUND(C103*D103,2)</f>
        <v>50</v>
      </c>
    </row>
    <row r="104" spans="1:5" ht="12.75" customHeight="1">
      <c r="A104" s="2" t="s">
        <v>81</v>
      </c>
      <c r="B104" s="2" t="s">
        <v>82</v>
      </c>
      <c r="C104" s="4">
        <v>200</v>
      </c>
      <c r="D104" s="2">
        <v>1</v>
      </c>
      <c r="E104" s="4">
        <f>ROUND(C104*D104,2)</f>
        <v>200</v>
      </c>
    </row>
    <row r="105" spans="2:6" ht="12.75" customHeight="1" thickBot="1">
      <c r="B105" s="2" t="s">
        <v>82</v>
      </c>
      <c r="C105" s="4">
        <v>275</v>
      </c>
      <c r="D105" s="2">
        <v>1</v>
      </c>
      <c r="E105" s="8"/>
      <c r="F105" s="4">
        <f>ROUND(C105*D105,2)</f>
        <v>275</v>
      </c>
    </row>
    <row r="106" spans="1:6" ht="12.75" customHeight="1" thickBot="1">
      <c r="A106" s="2" t="s">
        <v>83</v>
      </c>
      <c r="E106" s="34">
        <f>SUM(E98:E105)</f>
        <v>455</v>
      </c>
      <c r="F106" s="34">
        <f>SUM(F98:F105)</f>
        <v>700</v>
      </c>
    </row>
    <row r="107" ht="12.75" customHeight="1" thickTop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</sheetData>
  <sheetProtection/>
  <mergeCells count="14">
    <mergeCell ref="A4:G4"/>
    <mergeCell ref="A37:G37"/>
    <mergeCell ref="A45:G45"/>
    <mergeCell ref="H65:I65"/>
    <mergeCell ref="B87:E87"/>
    <mergeCell ref="A1:G1"/>
    <mergeCell ref="A2:G2"/>
    <mergeCell ref="A3:G3"/>
    <mergeCell ref="D75:E75"/>
    <mergeCell ref="D83:H83"/>
    <mergeCell ref="A62:G62"/>
    <mergeCell ref="B65:C65"/>
    <mergeCell ref="D65:E65"/>
    <mergeCell ref="F65:G6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27.7109375" style="2" customWidth="1"/>
    <col min="2" max="2" width="17.00390625" style="2" bestFit="1" customWidth="1"/>
    <col min="3" max="7" width="14.8515625" style="2" customWidth="1"/>
    <col min="8" max="8" width="11.421875" style="2" customWidth="1"/>
    <col min="9" max="9" width="13.8515625" style="2" bestFit="1" customWidth="1"/>
    <col min="10" max="11" width="12.00390625" style="2" bestFit="1" customWidth="1"/>
    <col min="12" max="12" width="14.28125" style="2" bestFit="1" customWidth="1"/>
    <col min="13" max="13" width="11.8515625" style="2" bestFit="1" customWidth="1"/>
    <col min="14" max="14" width="12.00390625" style="2" bestFit="1" customWidth="1"/>
    <col min="15" max="15" width="11.8515625" style="2" bestFit="1" customWidth="1"/>
    <col min="16" max="16384" width="11.421875" style="2" customWidth="1"/>
  </cols>
  <sheetData>
    <row r="1" spans="1:7" ht="12.75">
      <c r="A1" s="49" t="s">
        <v>54</v>
      </c>
      <c r="B1" s="49"/>
      <c r="C1" s="49"/>
      <c r="D1" s="49"/>
      <c r="E1" s="49"/>
      <c r="F1" s="49"/>
      <c r="G1" s="49"/>
    </row>
    <row r="2" spans="1:7" ht="12.75">
      <c r="A2" s="49"/>
      <c r="B2" s="49"/>
      <c r="C2" s="49"/>
      <c r="D2" s="49"/>
      <c r="E2" s="49"/>
      <c r="F2" s="49"/>
      <c r="G2" s="49"/>
    </row>
    <row r="3" spans="1:7" ht="12.75">
      <c r="A3" s="49" t="s">
        <v>2</v>
      </c>
      <c r="B3" s="49"/>
      <c r="C3" s="49"/>
      <c r="D3" s="49"/>
      <c r="E3" s="49"/>
      <c r="F3" s="49"/>
      <c r="G3" s="49"/>
    </row>
    <row r="4" spans="1:7" ht="12.75">
      <c r="A4" s="49" t="s">
        <v>3</v>
      </c>
      <c r="B4" s="49"/>
      <c r="C4" s="49"/>
      <c r="D4" s="49"/>
      <c r="E4" s="49"/>
      <c r="F4" s="49"/>
      <c r="G4" s="49"/>
    </row>
    <row r="5" spans="2:7" ht="12.75">
      <c r="B5" s="3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</row>
    <row r="6" spans="1:7" ht="12.75">
      <c r="A6" s="2" t="s">
        <v>4</v>
      </c>
      <c r="C6" s="4">
        <v>318000</v>
      </c>
      <c r="D6" s="4">
        <v>400000</v>
      </c>
      <c r="E6" s="4">
        <v>450000</v>
      </c>
      <c r="F6" s="4">
        <v>550000</v>
      </c>
      <c r="G6" s="4">
        <v>750000</v>
      </c>
    </row>
    <row r="7" spans="1:7" ht="12.75">
      <c r="A7" s="2" t="s">
        <v>5</v>
      </c>
      <c r="B7" s="4"/>
      <c r="C7" s="4">
        <v>-190000</v>
      </c>
      <c r="D7" s="4">
        <v>-200000</v>
      </c>
      <c r="E7" s="4">
        <v>-250000</v>
      </c>
      <c r="F7" s="4">
        <v>-275000</v>
      </c>
      <c r="G7" s="4">
        <v>-300000</v>
      </c>
    </row>
    <row r="8" spans="1:7" ht="12.75">
      <c r="A8" s="2" t="s">
        <v>6</v>
      </c>
      <c r="B8" s="4"/>
      <c r="C8" s="4"/>
      <c r="D8" s="4"/>
      <c r="E8" s="4"/>
      <c r="F8" s="4"/>
      <c r="G8" s="4"/>
    </row>
    <row r="9" spans="1:9" ht="12.75">
      <c r="A9" s="2" t="s">
        <v>7</v>
      </c>
      <c r="C9" s="4">
        <v>-40000</v>
      </c>
      <c r="D9" s="4">
        <v>-40000</v>
      </c>
      <c r="E9" s="4">
        <v>-40000</v>
      </c>
      <c r="F9" s="4">
        <v>-40000</v>
      </c>
      <c r="G9" s="4">
        <v>-40000</v>
      </c>
      <c r="I9" s="4"/>
    </row>
    <row r="10" spans="1:7" ht="12.75">
      <c r="A10" s="2" t="s">
        <v>8</v>
      </c>
      <c r="C10" s="4">
        <f>ROUND($B$21/5,2)</f>
        <v>-30000</v>
      </c>
      <c r="D10" s="4">
        <f>ROUND($B$21/5,2)</f>
        <v>-30000</v>
      </c>
      <c r="E10" s="4">
        <f>ROUND($B$21/5,2)</f>
        <v>-30000</v>
      </c>
      <c r="F10" s="4">
        <f>ROUND($B$21/5,2)</f>
        <v>-30000</v>
      </c>
      <c r="G10" s="4">
        <f>ROUND($B$21/5,2)</f>
        <v>-30000</v>
      </c>
    </row>
    <row r="11" spans="1:7" ht="13.5" thickBot="1">
      <c r="A11" s="2" t="s">
        <v>9</v>
      </c>
      <c r="C11" s="5">
        <f>-ROUND(B24*0.2,2)</f>
        <v>-56000</v>
      </c>
      <c r="D11" s="5">
        <f>-ROUND(($B$24)*0.2,2)</f>
        <v>-56000</v>
      </c>
      <c r="E11" s="5">
        <f>-ROUND(($B$24)*0.2,2)</f>
        <v>-56000</v>
      </c>
      <c r="F11" s="5">
        <f>-ROUND(($B$24+E25)*0.2,2)</f>
        <v>-36000</v>
      </c>
      <c r="G11" s="5">
        <f>-ROUND(($B$24+E25+F25)*0.2,2)</f>
        <v>-16000</v>
      </c>
    </row>
    <row r="12" spans="1:7" ht="12.75">
      <c r="A12" s="2" t="s">
        <v>10</v>
      </c>
      <c r="C12" s="4">
        <f>SUM(C6:C11)</f>
        <v>2000</v>
      </c>
      <c r="D12" s="4">
        <f>SUM(D6:D11)</f>
        <v>74000</v>
      </c>
      <c r="E12" s="4">
        <f>SUM(E6:E11)</f>
        <v>74000</v>
      </c>
      <c r="F12" s="4">
        <f>SUM(F6:F11)</f>
        <v>169000</v>
      </c>
      <c r="G12" s="4">
        <f>SUM(G6:G11)</f>
        <v>364000</v>
      </c>
    </row>
    <row r="13" spans="1:7" ht="13.5" thickBot="1">
      <c r="A13" s="2" t="s">
        <v>11</v>
      </c>
      <c r="C13" s="5">
        <f>-ROUND(C12*0.28,2)</f>
        <v>-560</v>
      </c>
      <c r="D13" s="5">
        <f>-ROUND(D12*0.28,2)</f>
        <v>-20720</v>
      </c>
      <c r="E13" s="5">
        <f>-ROUND(E12*0.28,2)</f>
        <v>-20720</v>
      </c>
      <c r="F13" s="5">
        <f>-ROUND(F12*0.28,2)</f>
        <v>-47320</v>
      </c>
      <c r="G13" s="5">
        <f>-ROUND(G12*0.28,2)</f>
        <v>-101920</v>
      </c>
    </row>
    <row r="14" spans="1:7" ht="12.75">
      <c r="A14" s="2" t="s">
        <v>12</v>
      </c>
      <c r="C14" s="4">
        <f>SUM(C12:C13)</f>
        <v>1440</v>
      </c>
      <c r="D14" s="4">
        <f>SUM(D12:D13)</f>
        <v>53280</v>
      </c>
      <c r="E14" s="4">
        <f>SUM(E12:E13)</f>
        <v>53280</v>
      </c>
      <c r="F14" s="4">
        <f>SUM(F12:F13)</f>
        <v>121680</v>
      </c>
      <c r="G14" s="4">
        <f>SUM(G12:G13)</f>
        <v>262080</v>
      </c>
    </row>
    <row r="15" spans="1:7" ht="12.75">
      <c r="A15" s="2" t="s">
        <v>7</v>
      </c>
      <c r="B15" s="4"/>
      <c r="C15" s="4">
        <f aca="true" t="shared" si="0" ref="C15:G16">-C9</f>
        <v>40000</v>
      </c>
      <c r="D15" s="4">
        <f t="shared" si="0"/>
        <v>40000</v>
      </c>
      <c r="E15" s="4">
        <f t="shared" si="0"/>
        <v>40000</v>
      </c>
      <c r="F15" s="4">
        <f t="shared" si="0"/>
        <v>40000</v>
      </c>
      <c r="G15" s="4">
        <f t="shared" si="0"/>
        <v>40000</v>
      </c>
    </row>
    <row r="16" spans="1:7" ht="12.75">
      <c r="A16" s="2" t="s">
        <v>8</v>
      </c>
      <c r="B16" s="4"/>
      <c r="C16" s="4">
        <f t="shared" si="0"/>
        <v>30000</v>
      </c>
      <c r="D16" s="4">
        <f t="shared" si="0"/>
        <v>30000</v>
      </c>
      <c r="E16" s="4">
        <f t="shared" si="0"/>
        <v>30000</v>
      </c>
      <c r="F16" s="4">
        <f t="shared" si="0"/>
        <v>30000</v>
      </c>
      <c r="G16" s="4">
        <f t="shared" si="0"/>
        <v>30000</v>
      </c>
    </row>
    <row r="17" spans="1:2" ht="12.75">
      <c r="A17" s="2" t="s">
        <v>13</v>
      </c>
      <c r="B17" s="4"/>
    </row>
    <row r="18" spans="1:2" ht="12.75">
      <c r="A18" s="2" t="s">
        <v>14</v>
      </c>
      <c r="B18" s="4"/>
    </row>
    <row r="19" spans="1:2" ht="12.75">
      <c r="A19" s="2" t="s">
        <v>15</v>
      </c>
      <c r="B19" s="4">
        <v>-400000</v>
      </c>
    </row>
    <row r="20" spans="1:2" ht="12.75">
      <c r="A20" s="2" t="s">
        <v>16</v>
      </c>
      <c r="B20" s="4">
        <v>-150000</v>
      </c>
    </row>
    <row r="21" spans="1:2" ht="12.75">
      <c r="A21" s="2" t="s">
        <v>17</v>
      </c>
      <c r="B21" s="4">
        <v>-150000</v>
      </c>
    </row>
    <row r="22" spans="1:7" ht="12.75">
      <c r="A22" s="2" t="s">
        <v>18</v>
      </c>
      <c r="B22" s="4"/>
      <c r="G22" s="4"/>
    </row>
    <row r="23" spans="1:7" ht="12.75">
      <c r="A23" s="2" t="s">
        <v>19</v>
      </c>
      <c r="B23" s="4"/>
      <c r="G23" s="4">
        <v>200000</v>
      </c>
    </row>
    <row r="24" spans="1:2" ht="12.75">
      <c r="A24" s="2" t="s">
        <v>20</v>
      </c>
      <c r="B24" s="4">
        <v>280000</v>
      </c>
    </row>
    <row r="25" spans="1:7" ht="13.5" thickBot="1">
      <c r="A25" s="2" t="s">
        <v>21</v>
      </c>
      <c r="B25" s="5"/>
      <c r="C25" s="5"/>
      <c r="D25" s="5"/>
      <c r="E25" s="5">
        <v>-100000</v>
      </c>
      <c r="F25" s="5">
        <v>-100000</v>
      </c>
      <c r="G25" s="5">
        <v>-80000</v>
      </c>
    </row>
    <row r="26" spans="1:7" ht="12.75">
      <c r="A26" s="2" t="s">
        <v>22</v>
      </c>
      <c r="B26" s="4">
        <f>SUM(B15:B25)</f>
        <v>-420000</v>
      </c>
      <c r="C26" s="4">
        <f>SUM(C14:C25)</f>
        <v>71440</v>
      </c>
      <c r="D26" s="4">
        <f>SUM(D14:D25)</f>
        <v>123280</v>
      </c>
      <c r="E26" s="4">
        <f>SUM(E14:E25)</f>
        <v>23280</v>
      </c>
      <c r="F26" s="4">
        <f>SUM(F14:F25)</f>
        <v>91680</v>
      </c>
      <c r="G26" s="4">
        <f>SUM(G14:G25)</f>
        <v>452080</v>
      </c>
    </row>
    <row r="27" spans="1:7" ht="12.75">
      <c r="A27" s="2" t="s">
        <v>23</v>
      </c>
      <c r="B27" s="4">
        <f aca="true" t="shared" si="1" ref="B27:G27">ROUND(B26*((1+$B$28)^-B5),2)</f>
        <v>-420000</v>
      </c>
      <c r="C27" s="4">
        <f t="shared" si="1"/>
        <v>57152</v>
      </c>
      <c r="D27" s="4">
        <f t="shared" si="1"/>
        <v>78899.2</v>
      </c>
      <c r="E27" s="4">
        <f t="shared" si="1"/>
        <v>11919.36</v>
      </c>
      <c r="F27" s="4">
        <f t="shared" si="1"/>
        <v>37552.13</v>
      </c>
      <c r="G27" s="4">
        <f t="shared" si="1"/>
        <v>148137.57</v>
      </c>
    </row>
    <row r="28" spans="1:2" ht="12.75">
      <c r="A28" s="2" t="s">
        <v>24</v>
      </c>
      <c r="B28" s="6">
        <v>0.25</v>
      </c>
    </row>
    <row r="29" spans="1:2" ht="12.75" customHeight="1">
      <c r="A29" s="2" t="s">
        <v>25</v>
      </c>
      <c r="B29" s="4">
        <f>SUM(B27:G27)</f>
        <v>-86339.73999999999</v>
      </c>
    </row>
    <row r="30" ht="12.75" customHeight="1">
      <c r="B30" s="7"/>
    </row>
    <row r="31" spans="1:7" ht="12.75" customHeight="1" thickBot="1">
      <c r="A31" s="8"/>
      <c r="B31" s="9"/>
      <c r="C31" s="8"/>
      <c r="D31" s="8"/>
      <c r="E31" s="8"/>
      <c r="F31" s="8"/>
      <c r="G31" s="8"/>
    </row>
    <row r="32" spans="1:7" ht="12.75" customHeight="1">
      <c r="A32" s="50" t="s">
        <v>26</v>
      </c>
      <c r="B32" s="50"/>
      <c r="C32" s="50"/>
      <c r="D32" s="50"/>
      <c r="E32" s="50"/>
      <c r="F32" s="50"/>
      <c r="G32" s="50"/>
    </row>
    <row r="33" spans="1:7" ht="12.75" customHeight="1">
      <c r="A33" s="49" t="s">
        <v>27</v>
      </c>
      <c r="B33" s="49"/>
      <c r="C33" s="49"/>
      <c r="D33" s="49"/>
      <c r="E33" s="49"/>
      <c r="F33" s="49"/>
      <c r="G33" s="49"/>
    </row>
    <row r="34" spans="1:7" ht="12.75" customHeight="1">
      <c r="A34" s="2" t="s">
        <v>4</v>
      </c>
      <c r="C34" s="4">
        <f>C6</f>
        <v>318000</v>
      </c>
      <c r="D34" s="4">
        <f>D6</f>
        <v>400000</v>
      </c>
      <c r="E34" s="4">
        <f>E6</f>
        <v>450000</v>
      </c>
      <c r="F34" s="4">
        <f>F6</f>
        <v>550000</v>
      </c>
      <c r="G34" s="4">
        <f>G6</f>
        <v>750000</v>
      </c>
    </row>
    <row r="35" spans="1:2" ht="12.75" customHeight="1">
      <c r="A35" s="2" t="s">
        <v>20</v>
      </c>
      <c r="B35" s="4">
        <f>B24</f>
        <v>280000</v>
      </c>
    </row>
    <row r="36" spans="1:7" ht="12.75" customHeight="1">
      <c r="A36" s="2" t="s">
        <v>28</v>
      </c>
      <c r="G36" s="4">
        <f>G22</f>
        <v>0</v>
      </c>
    </row>
    <row r="37" spans="1:7" ht="12.75" customHeight="1" thickBot="1">
      <c r="A37" s="8" t="s">
        <v>29</v>
      </c>
      <c r="B37" s="8"/>
      <c r="C37" s="8"/>
      <c r="D37" s="8"/>
      <c r="E37" s="8"/>
      <c r="F37" s="8"/>
      <c r="G37" s="5">
        <f>G23</f>
        <v>200000</v>
      </c>
    </row>
    <row r="38" spans="1:7" ht="12.75" customHeight="1">
      <c r="A38" s="2" t="s">
        <v>30</v>
      </c>
      <c r="B38" s="4">
        <f aca="true" t="shared" si="2" ref="B38:G38">SUM(B34:B37)</f>
        <v>280000</v>
      </c>
      <c r="C38" s="4">
        <f t="shared" si="2"/>
        <v>318000</v>
      </c>
      <c r="D38" s="4">
        <f t="shared" si="2"/>
        <v>400000</v>
      </c>
      <c r="E38" s="4">
        <f t="shared" si="2"/>
        <v>450000</v>
      </c>
      <c r="F38" s="4">
        <f t="shared" si="2"/>
        <v>550000</v>
      </c>
      <c r="G38" s="4">
        <f t="shared" si="2"/>
        <v>950000</v>
      </c>
    </row>
    <row r="39" spans="1:7" ht="12.75" customHeight="1">
      <c r="A39" s="2" t="s">
        <v>31</v>
      </c>
      <c r="B39" s="4">
        <f aca="true" t="shared" si="3" ref="B39:G39">ROUND(B38*((1+$B$28)^-B5),2)</f>
        <v>280000</v>
      </c>
      <c r="C39" s="4">
        <f t="shared" si="3"/>
        <v>254400</v>
      </c>
      <c r="D39" s="4">
        <f t="shared" si="3"/>
        <v>256000</v>
      </c>
      <c r="E39" s="4">
        <f t="shared" si="3"/>
        <v>230400</v>
      </c>
      <c r="F39" s="4">
        <f t="shared" si="3"/>
        <v>225280</v>
      </c>
      <c r="G39" s="4">
        <f t="shared" si="3"/>
        <v>311296</v>
      </c>
    </row>
    <row r="40" spans="1:7" ht="12.75" customHeight="1">
      <c r="A40" s="10" t="s">
        <v>32</v>
      </c>
      <c r="G40" s="11">
        <f>SUM(B39:G39)</f>
        <v>1557376</v>
      </c>
    </row>
    <row r="41" ht="12.75" customHeight="1">
      <c r="G41" s="4"/>
    </row>
    <row r="42" spans="1:7" ht="12.75" customHeight="1">
      <c r="A42" s="49" t="s">
        <v>33</v>
      </c>
      <c r="B42" s="49"/>
      <c r="C42" s="49"/>
      <c r="D42" s="49"/>
      <c r="E42" s="49"/>
      <c r="F42" s="49"/>
      <c r="G42" s="49"/>
    </row>
    <row r="43" spans="1:7" ht="12.75" customHeight="1">
      <c r="A43" s="2" t="s">
        <v>5</v>
      </c>
      <c r="C43" s="4">
        <f aca="true" t="shared" si="4" ref="C43:G44">-C7</f>
        <v>190000</v>
      </c>
      <c r="D43" s="4">
        <f t="shared" si="4"/>
        <v>200000</v>
      </c>
      <c r="E43" s="4">
        <f t="shared" si="4"/>
        <v>250000</v>
      </c>
      <c r="F43" s="4">
        <f t="shared" si="4"/>
        <v>275000</v>
      </c>
      <c r="G43" s="4">
        <f t="shared" si="4"/>
        <v>300000</v>
      </c>
    </row>
    <row r="44" spans="1:7" ht="12.75" customHeight="1">
      <c r="A44" s="2" t="s">
        <v>6</v>
      </c>
      <c r="C44" s="4">
        <f t="shared" si="4"/>
        <v>0</v>
      </c>
      <c r="D44" s="4">
        <f t="shared" si="4"/>
        <v>0</v>
      </c>
      <c r="E44" s="4">
        <f t="shared" si="4"/>
        <v>0</v>
      </c>
      <c r="F44" s="4">
        <f t="shared" si="4"/>
        <v>0</v>
      </c>
      <c r="G44" s="4">
        <f t="shared" si="4"/>
        <v>0</v>
      </c>
    </row>
    <row r="45" spans="1:7" ht="12.75" customHeight="1">
      <c r="A45" s="2" t="s">
        <v>34</v>
      </c>
      <c r="C45" s="4">
        <f>-C11</f>
        <v>56000</v>
      </c>
      <c r="D45" s="4">
        <f>-D11</f>
        <v>56000</v>
      </c>
      <c r="E45" s="4">
        <f>-E11</f>
        <v>56000</v>
      </c>
      <c r="F45" s="4">
        <f>-F11</f>
        <v>36000</v>
      </c>
      <c r="G45" s="4">
        <f>-G11</f>
        <v>16000</v>
      </c>
    </row>
    <row r="46" spans="1:7" ht="12.75" customHeight="1">
      <c r="A46" s="2" t="s">
        <v>35</v>
      </c>
      <c r="C46" s="4">
        <f>-C13</f>
        <v>560</v>
      </c>
      <c r="D46" s="4">
        <f>-D13</f>
        <v>20720</v>
      </c>
      <c r="E46" s="4">
        <f>-E13</f>
        <v>20720</v>
      </c>
      <c r="F46" s="4">
        <f>-F13</f>
        <v>47320</v>
      </c>
      <c r="G46" s="4">
        <f>-G13</f>
        <v>101920</v>
      </c>
    </row>
    <row r="47" spans="1:2" ht="12.75" customHeight="1">
      <c r="A47" s="2" t="s">
        <v>15</v>
      </c>
      <c r="B47" s="4">
        <f>-SUM(B17:B19)</f>
        <v>400000</v>
      </c>
    </row>
    <row r="48" spans="1:2" ht="12.75" customHeight="1">
      <c r="A48" s="2" t="s">
        <v>17</v>
      </c>
      <c r="B48" s="4">
        <f>-B21</f>
        <v>150000</v>
      </c>
    </row>
    <row r="49" spans="1:2" ht="12.75" customHeight="1">
      <c r="A49" s="2" t="s">
        <v>36</v>
      </c>
      <c r="B49" s="4">
        <f>-B20</f>
        <v>150000</v>
      </c>
    </row>
    <row r="50" spans="1:7" ht="12.75" customHeight="1" thickBot="1">
      <c r="A50" s="8" t="s">
        <v>37</v>
      </c>
      <c r="B50" s="8"/>
      <c r="C50" s="5">
        <f>-C25</f>
        <v>0</v>
      </c>
      <c r="D50" s="5">
        <f>-D25</f>
        <v>0</v>
      </c>
      <c r="E50" s="5">
        <f>-E25</f>
        <v>100000</v>
      </c>
      <c r="F50" s="5">
        <f>-F25</f>
        <v>100000</v>
      </c>
      <c r="G50" s="5">
        <f>-G25</f>
        <v>80000</v>
      </c>
    </row>
    <row r="51" spans="1:7" ht="12.75" customHeight="1">
      <c r="A51" s="2" t="s">
        <v>38</v>
      </c>
      <c r="B51" s="4">
        <f aca="true" t="shared" si="5" ref="B51:G51">SUM(B43:B50)</f>
        <v>700000</v>
      </c>
      <c r="C51" s="4">
        <f t="shared" si="5"/>
        <v>246560</v>
      </c>
      <c r="D51" s="4">
        <f t="shared" si="5"/>
        <v>276720</v>
      </c>
      <c r="E51" s="4">
        <f t="shared" si="5"/>
        <v>426720</v>
      </c>
      <c r="F51" s="4">
        <f t="shared" si="5"/>
        <v>458320</v>
      </c>
      <c r="G51" s="4">
        <f t="shared" si="5"/>
        <v>497920</v>
      </c>
    </row>
    <row r="52" spans="1:7" ht="12.75" customHeight="1">
      <c r="A52" s="2" t="s">
        <v>39</v>
      </c>
      <c r="B52" s="4">
        <f aca="true" t="shared" si="6" ref="B52:G52">ROUND(B51*((1+$B$28)^-B5),2)</f>
        <v>700000</v>
      </c>
      <c r="C52" s="4">
        <f t="shared" si="6"/>
        <v>197248</v>
      </c>
      <c r="D52" s="4">
        <f t="shared" si="6"/>
        <v>177100.8</v>
      </c>
      <c r="E52" s="4">
        <f t="shared" si="6"/>
        <v>218480.64</v>
      </c>
      <c r="F52" s="4">
        <f t="shared" si="6"/>
        <v>187727.87</v>
      </c>
      <c r="G52" s="4">
        <f t="shared" si="6"/>
        <v>163158.43</v>
      </c>
    </row>
    <row r="53" spans="1:7" ht="12.75" customHeight="1">
      <c r="A53" s="10" t="s">
        <v>40</v>
      </c>
      <c r="G53" s="11">
        <f>SUM(B52:G52)</f>
        <v>1643715.74</v>
      </c>
    </row>
    <row r="54" spans="1:4" ht="12.75" customHeight="1">
      <c r="A54" s="10" t="s">
        <v>41</v>
      </c>
      <c r="B54" s="4">
        <f>G40</f>
        <v>1557376</v>
      </c>
      <c r="C54" s="4">
        <f>G53</f>
        <v>1643715.74</v>
      </c>
      <c r="D54" s="10">
        <f>B54/C54</f>
        <v>0.9474728276313762</v>
      </c>
    </row>
    <row r="55" ht="12.75" customHeight="1"/>
    <row r="56" ht="12.75" customHeight="1"/>
    <row r="57" spans="2:5" ht="12.75" customHeight="1">
      <c r="B57" s="49" t="s">
        <v>42</v>
      </c>
      <c r="C57" s="49"/>
      <c r="D57" s="49"/>
      <c r="E57" s="49"/>
    </row>
    <row r="58" spans="1:3" ht="12.75" customHeight="1">
      <c r="A58" s="12" t="s">
        <v>43</v>
      </c>
      <c r="B58" s="3" t="s">
        <v>44</v>
      </c>
      <c r="C58" s="3" t="s">
        <v>45</v>
      </c>
    </row>
    <row r="59" spans="2:4" ht="12.75" customHeight="1">
      <c r="B59" s="2" t="s">
        <v>46</v>
      </c>
      <c r="D59" s="4">
        <v>280000</v>
      </c>
    </row>
    <row r="60" spans="1:4" ht="12.75" customHeight="1">
      <c r="A60" s="2">
        <v>1</v>
      </c>
      <c r="B60" s="4">
        <v>0</v>
      </c>
      <c r="C60" s="4">
        <f>ROUND(D59*0.2,2)</f>
        <v>56000</v>
      </c>
      <c r="D60" s="4">
        <f>D59-B60</f>
        <v>280000</v>
      </c>
    </row>
    <row r="61" spans="1:4" ht="12.75" customHeight="1">
      <c r="A61" s="2">
        <v>2</v>
      </c>
      <c r="B61" s="4">
        <f>B60</f>
        <v>0</v>
      </c>
      <c r="C61" s="4">
        <f>ROUND(D60*0.2,2)</f>
        <v>56000</v>
      </c>
      <c r="D61" s="4">
        <f>D60-B61</f>
        <v>280000</v>
      </c>
    </row>
    <row r="62" spans="1:4" ht="12.75" customHeight="1">
      <c r="A62" s="2">
        <v>3</v>
      </c>
      <c r="B62" s="4">
        <v>100000</v>
      </c>
      <c r="C62" s="4">
        <f>ROUND(D61*0.2,2)</f>
        <v>56000</v>
      </c>
      <c r="D62" s="4">
        <f>D61-B62</f>
        <v>180000</v>
      </c>
    </row>
    <row r="63" spans="1:4" ht="12.75" customHeight="1">
      <c r="A63" s="2">
        <v>4</v>
      </c>
      <c r="B63" s="4">
        <v>100000</v>
      </c>
      <c r="C63" s="4">
        <f>ROUND(D62*0.2,2)</f>
        <v>36000</v>
      </c>
      <c r="D63" s="4">
        <f>D62-B63</f>
        <v>80000</v>
      </c>
    </row>
    <row r="64" spans="1:4" ht="12.75" customHeight="1">
      <c r="A64" s="2">
        <v>5</v>
      </c>
      <c r="B64" s="4">
        <v>80000</v>
      </c>
      <c r="C64" s="4">
        <f>ROUND(D63*0.2,2)</f>
        <v>16000</v>
      </c>
      <c r="D64" s="4">
        <f>D63-B64</f>
        <v>0</v>
      </c>
    </row>
    <row r="65" ht="12.75" customHeight="1"/>
    <row r="66" spans="1:7" ht="12.75" customHeight="1">
      <c r="A66" s="52" t="s">
        <v>47</v>
      </c>
      <c r="B66" s="52"/>
      <c r="C66" s="52"/>
      <c r="D66" s="52"/>
      <c r="E66" s="52"/>
      <c r="F66" s="52"/>
      <c r="G66" s="52"/>
    </row>
    <row r="67" ht="12.75" customHeight="1"/>
    <row r="68" ht="12.75" customHeight="1" thickBot="1"/>
    <row r="69" spans="1:7" ht="12.75" customHeight="1" thickBot="1">
      <c r="A69" s="13" t="s">
        <v>48</v>
      </c>
      <c r="B69" s="53">
        <v>0.25</v>
      </c>
      <c r="C69" s="54"/>
      <c r="D69" s="56">
        <v>20</v>
      </c>
      <c r="E69" s="57"/>
      <c r="F69" s="56">
        <v>15</v>
      </c>
      <c r="G69" s="57"/>
    </row>
    <row r="70" spans="1:7" ht="12.75" customHeight="1">
      <c r="A70" s="14">
        <f>B26</f>
        <v>-420000</v>
      </c>
      <c r="B70" s="15">
        <f>1.25^0</f>
        <v>1</v>
      </c>
      <c r="C70" s="16">
        <f aca="true" t="shared" si="7" ref="C70:C75">B70*A70</f>
        <v>-420000</v>
      </c>
      <c r="D70" s="15">
        <f>1.2^0</f>
        <v>1</v>
      </c>
      <c r="E70" s="16">
        <f aca="true" t="shared" si="8" ref="E70:E75">D70*A70</f>
        <v>-420000</v>
      </c>
      <c r="F70" s="15">
        <f>1.15^0</f>
        <v>1</v>
      </c>
      <c r="G70" s="16">
        <f aca="true" t="shared" si="9" ref="G70:G75">F70*A70</f>
        <v>-420000</v>
      </c>
    </row>
    <row r="71" spans="1:7" ht="12.75" customHeight="1">
      <c r="A71" s="17">
        <f>C26</f>
        <v>71440</v>
      </c>
      <c r="B71" s="18">
        <f>1.25^-1</f>
        <v>0.8</v>
      </c>
      <c r="C71" s="16">
        <f t="shared" si="7"/>
        <v>57152</v>
      </c>
      <c r="D71" s="18">
        <f>1.2^-1</f>
        <v>0.8333333333333334</v>
      </c>
      <c r="E71" s="16">
        <f>D71*A71</f>
        <v>59533.333333333336</v>
      </c>
      <c r="F71" s="18">
        <f>1.15^-1</f>
        <v>0.8695652173913044</v>
      </c>
      <c r="G71" s="16">
        <f>F71*A71</f>
        <v>62121.73913043479</v>
      </c>
    </row>
    <row r="72" spans="1:7" ht="12.75" customHeight="1">
      <c r="A72" s="19">
        <f>D26</f>
        <v>123280</v>
      </c>
      <c r="B72" s="18">
        <f>1.25^-2</f>
        <v>0.64</v>
      </c>
      <c r="C72" s="16">
        <f t="shared" si="7"/>
        <v>78899.2</v>
      </c>
      <c r="D72" s="18">
        <f>1.2^-2</f>
        <v>0.6944444444444444</v>
      </c>
      <c r="E72" s="16">
        <f>D72*A72</f>
        <v>85611.11111111111</v>
      </c>
      <c r="F72" s="18">
        <f>1.15^-2</f>
        <v>0.7561436672967865</v>
      </c>
      <c r="G72" s="16">
        <f>F72*A72</f>
        <v>93217.39130434784</v>
      </c>
    </row>
    <row r="73" spans="1:7" ht="12.75" customHeight="1">
      <c r="A73" s="19">
        <f>E26</f>
        <v>23280</v>
      </c>
      <c r="B73" s="18">
        <f>1.25^-3</f>
        <v>0.512</v>
      </c>
      <c r="C73" s="16">
        <f t="shared" si="7"/>
        <v>11919.36</v>
      </c>
      <c r="D73" s="18">
        <f>1.2^-3</f>
        <v>0.5787037037037037</v>
      </c>
      <c r="E73" s="16">
        <f>D73*A73</f>
        <v>13472.222222222223</v>
      </c>
      <c r="F73" s="18">
        <f>1.15^-3</f>
        <v>0.6575162324319883</v>
      </c>
      <c r="G73" s="16">
        <f>F73*A73</f>
        <v>15306.977891016688</v>
      </c>
    </row>
    <row r="74" spans="1:7" ht="12.75" customHeight="1">
      <c r="A74" s="19">
        <f>F26</f>
        <v>91680</v>
      </c>
      <c r="B74" s="18">
        <f>1.25^-4</f>
        <v>0.4096</v>
      </c>
      <c r="C74" s="16">
        <f t="shared" si="7"/>
        <v>37552.128000000004</v>
      </c>
      <c r="D74" s="18">
        <f>1.2^-4</f>
        <v>0.4822530864197531</v>
      </c>
      <c r="E74" s="16">
        <f>D74*A74</f>
        <v>44212.96296296296</v>
      </c>
      <c r="F74" s="18">
        <f>1.15^-4</f>
        <v>0.5717532455930334</v>
      </c>
      <c r="G74" s="16">
        <f>F74*A74</f>
        <v>52418.3375559693</v>
      </c>
    </row>
    <row r="75" spans="1:7" ht="12.75" customHeight="1" thickBot="1">
      <c r="A75" s="20">
        <f>G26</f>
        <v>452080</v>
      </c>
      <c r="B75" s="21">
        <f>1.25^-5</f>
        <v>0.32768</v>
      </c>
      <c r="C75" s="22">
        <f t="shared" si="7"/>
        <v>148137.5744</v>
      </c>
      <c r="D75" s="21">
        <f>1.2^-5</f>
        <v>0.4018775720164609</v>
      </c>
      <c r="E75" s="16">
        <f>D75*A75</f>
        <v>181680.81275720164</v>
      </c>
      <c r="F75" s="21">
        <f>1.15^-5</f>
        <v>0.4971767352982899</v>
      </c>
      <c r="G75" s="16">
        <f>F75*A75</f>
        <v>224763.65849365087</v>
      </c>
    </row>
    <row r="76" spans="1:7" ht="12.75" customHeight="1" thickBot="1" thickTop="1">
      <c r="A76" s="23" t="s">
        <v>49</v>
      </c>
      <c r="B76" s="24"/>
      <c r="C76" s="25">
        <f>SUM(C70:C75)</f>
        <v>-86339.7376</v>
      </c>
      <c r="D76" s="24"/>
      <c r="E76" s="35">
        <f>SUM(E70:E75)</f>
        <v>-35489.557613168756</v>
      </c>
      <c r="F76" s="24"/>
      <c r="G76" s="35">
        <f>SUM(G70:G75)</f>
        <v>27828.104375419527</v>
      </c>
    </row>
    <row r="77" spans="1:7" ht="12.75" customHeight="1" thickTop="1">
      <c r="A77" s="15"/>
      <c r="B77" s="15"/>
      <c r="C77" s="15"/>
      <c r="D77" s="15"/>
      <c r="E77" s="15"/>
      <c r="F77" s="15"/>
      <c r="G77" s="16"/>
    </row>
    <row r="78" ht="12.75" customHeight="1">
      <c r="D78" s="26"/>
    </row>
    <row r="79" spans="1:6" ht="12.75" customHeight="1" thickBot="1">
      <c r="A79" s="12" t="s">
        <v>50</v>
      </c>
      <c r="B79" s="27">
        <v>15</v>
      </c>
      <c r="C79" s="3" t="s">
        <v>51</v>
      </c>
      <c r="D79" s="51">
        <f>G76</f>
        <v>27828.104375419527</v>
      </c>
      <c r="E79" s="51"/>
      <c r="F79" s="28"/>
    </row>
    <row r="80" spans="2:5" ht="12.75" customHeight="1">
      <c r="B80" s="27"/>
      <c r="D80" s="29">
        <f>G76</f>
        <v>27828.104375419527</v>
      </c>
      <c r="E80" s="29">
        <f>-E76</f>
        <v>35489.557613168756</v>
      </c>
    </row>
    <row r="81" ht="12.75" customHeight="1">
      <c r="B81" s="27"/>
    </row>
    <row r="82" spans="1:4" ht="12.75" customHeight="1">
      <c r="A82" s="12" t="s">
        <v>50</v>
      </c>
      <c r="B82" s="27">
        <f>F69</f>
        <v>15</v>
      </c>
      <c r="C82" s="2">
        <f>D69-F69</f>
        <v>5</v>
      </c>
      <c r="D82" s="30">
        <f>D79</f>
        <v>27828.104375419527</v>
      </c>
    </row>
    <row r="83" spans="2:4" ht="12.75" customHeight="1">
      <c r="B83" s="27"/>
      <c r="D83" s="30">
        <f>D80+E80</f>
        <v>63317.66198858828</v>
      </c>
    </row>
    <row r="84" ht="12.75" customHeight="1">
      <c r="B84" s="27"/>
    </row>
    <row r="85" spans="1:3" ht="12.75" customHeight="1">
      <c r="A85" s="12" t="str">
        <f>A82</f>
        <v>TIR=</v>
      </c>
      <c r="B85" s="27">
        <f>B82</f>
        <v>15</v>
      </c>
      <c r="C85" s="2">
        <f>C82*(D82/D83)</f>
        <v>2.1974993628503667</v>
      </c>
    </row>
    <row r="86" ht="12.75" customHeight="1">
      <c r="D86" s="10"/>
    </row>
    <row r="87" spans="1:8" ht="12.75" customHeight="1">
      <c r="A87" s="31" t="str">
        <f>A85</f>
        <v>TIR=</v>
      </c>
      <c r="B87" s="32">
        <f>B85+C85</f>
        <v>17.197499362850365</v>
      </c>
      <c r="C87" s="2" t="s">
        <v>52</v>
      </c>
      <c r="D87" s="55"/>
      <c r="E87" s="55"/>
      <c r="F87" s="55"/>
      <c r="G87" s="55"/>
      <c r="H87" s="55"/>
    </row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</sheetData>
  <sheetProtection/>
  <mergeCells count="14">
    <mergeCell ref="D79:E79"/>
    <mergeCell ref="D87:H87"/>
    <mergeCell ref="B57:E57"/>
    <mergeCell ref="A66:G66"/>
    <mergeCell ref="B69:C69"/>
    <mergeCell ref="D69:E69"/>
    <mergeCell ref="F69:G69"/>
    <mergeCell ref="A4:G4"/>
    <mergeCell ref="A32:G32"/>
    <mergeCell ref="A33:G33"/>
    <mergeCell ref="A42:G42"/>
    <mergeCell ref="A1:G1"/>
    <mergeCell ref="A2:G2"/>
    <mergeCell ref="A3:G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25.7109375" style="2" customWidth="1"/>
    <col min="2" max="3" width="15.8515625" style="2" bestFit="1" customWidth="1"/>
    <col min="4" max="6" width="15.421875" style="2" bestFit="1" customWidth="1"/>
    <col min="7" max="7" width="15.8515625" style="2" bestFit="1" customWidth="1"/>
    <col min="8" max="11" width="14.8515625" style="2" customWidth="1"/>
    <col min="12" max="12" width="15.8515625" style="2" bestFit="1" customWidth="1"/>
    <col min="13" max="13" width="11.421875" style="2" customWidth="1"/>
    <col min="14" max="14" width="14.8515625" style="2" bestFit="1" customWidth="1"/>
    <col min="15" max="15" width="11.421875" style="2" customWidth="1"/>
    <col min="16" max="16" width="11.8515625" style="2" bestFit="1" customWidth="1"/>
    <col min="17" max="17" width="11.421875" style="2" customWidth="1"/>
    <col min="18" max="18" width="11.8515625" style="2" bestFit="1" customWidth="1"/>
    <col min="19" max="19" width="11.421875" style="2" customWidth="1"/>
    <col min="20" max="20" width="11.8515625" style="2" bestFit="1" customWidth="1"/>
    <col min="21" max="21" width="11.421875" style="2" customWidth="1"/>
    <col min="22" max="22" width="11.8515625" style="2" bestFit="1" customWidth="1"/>
    <col min="23" max="16384" width="11.421875" style="2" customWidth="1"/>
  </cols>
  <sheetData>
    <row r="1" spans="1:12" ht="12.75">
      <c r="A1" s="49" t="s">
        <v>85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>
      <c r="A2" s="49" t="s">
        <v>86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2.75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2.75">
      <c r="A4" s="49" t="s">
        <v>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2:12" ht="12.75">
      <c r="B5" s="3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</row>
    <row r="6" spans="1:12" ht="12.75">
      <c r="A6" s="2" t="s">
        <v>87</v>
      </c>
      <c r="B6" s="2" t="s">
        <v>88</v>
      </c>
      <c r="C6" s="3">
        <v>400</v>
      </c>
      <c r="D6" s="3">
        <v>450</v>
      </c>
      <c r="E6" s="3">
        <v>500</v>
      </c>
      <c r="F6" s="3">
        <v>550</v>
      </c>
      <c r="G6" s="3">
        <v>600</v>
      </c>
      <c r="H6" s="3">
        <f>G6*1.25</f>
        <v>750</v>
      </c>
      <c r="I6" s="3">
        <f>H6</f>
        <v>750</v>
      </c>
      <c r="J6" s="3">
        <f>I6</f>
        <v>750</v>
      </c>
      <c r="K6" s="3">
        <f>J6</f>
        <v>750</v>
      </c>
      <c r="L6" s="3">
        <f>K6</f>
        <v>750</v>
      </c>
    </row>
    <row r="7" spans="1:12" ht="12.75">
      <c r="A7" s="2" t="s">
        <v>89</v>
      </c>
      <c r="C7" s="4">
        <v>1400</v>
      </c>
      <c r="D7" s="4">
        <v>1400</v>
      </c>
      <c r="E7" s="4">
        <v>1400</v>
      </c>
      <c r="F7" s="4">
        <v>1650</v>
      </c>
      <c r="G7" s="4">
        <v>1650</v>
      </c>
      <c r="H7" s="4">
        <v>1650</v>
      </c>
      <c r="I7" s="4">
        <v>1650</v>
      </c>
      <c r="J7" s="4">
        <v>1650</v>
      </c>
      <c r="K7" s="4">
        <v>1650</v>
      </c>
      <c r="L7" s="4">
        <v>1650</v>
      </c>
    </row>
    <row r="8" spans="1:12" ht="12.75">
      <c r="A8" s="2" t="s">
        <v>4</v>
      </c>
      <c r="C8" s="4">
        <f aca="true" t="shared" si="0" ref="C8:L8">ROUND(C6*C7,2)</f>
        <v>560000</v>
      </c>
      <c r="D8" s="4">
        <f t="shared" si="0"/>
        <v>630000</v>
      </c>
      <c r="E8" s="4">
        <f t="shared" si="0"/>
        <v>700000</v>
      </c>
      <c r="F8" s="4">
        <f t="shared" si="0"/>
        <v>907500</v>
      </c>
      <c r="G8" s="4">
        <f t="shared" si="0"/>
        <v>990000</v>
      </c>
      <c r="H8" s="4">
        <f t="shared" si="0"/>
        <v>1237500</v>
      </c>
      <c r="I8" s="4">
        <f t="shared" si="0"/>
        <v>1237500</v>
      </c>
      <c r="J8" s="4">
        <f t="shared" si="0"/>
        <v>1237500</v>
      </c>
      <c r="K8" s="4">
        <f t="shared" si="0"/>
        <v>1237500</v>
      </c>
      <c r="L8" s="4">
        <f t="shared" si="0"/>
        <v>1237500</v>
      </c>
    </row>
    <row r="9" spans="1:12" ht="12.75">
      <c r="A9" s="2" t="s">
        <v>5</v>
      </c>
      <c r="B9" s="4">
        <f>150+220+78</f>
        <v>448</v>
      </c>
      <c r="C9" s="4">
        <f>-ROUND($B$9*C6,2)</f>
        <v>-179200</v>
      </c>
      <c r="D9" s="4">
        <f>-ROUND($B$9*D6,2)</f>
        <v>-201600</v>
      </c>
      <c r="E9" s="4">
        <f>-ROUND($B$9*E6,2)</f>
        <v>-224000</v>
      </c>
      <c r="F9" s="4">
        <f>-ROUND($B$9*F6,2)</f>
        <v>-246400</v>
      </c>
      <c r="G9" s="4">
        <f>-ROUND($B$9*G6,2)</f>
        <v>-268800</v>
      </c>
      <c r="H9" s="4">
        <f>-ROUND(($B$9-(220*0.1))*H6,2)</f>
        <v>-319500</v>
      </c>
      <c r="I9" s="4">
        <f>-ROUND(($B$9-(220*0.1))*I6,2)</f>
        <v>-319500</v>
      </c>
      <c r="J9" s="4">
        <f>-ROUND(($B$9-(220*0.1))*J6,2)</f>
        <v>-319500</v>
      </c>
      <c r="K9" s="4">
        <f>-ROUND(($B$9-(220*0.1))*K6,2)</f>
        <v>-319500</v>
      </c>
      <c r="L9" s="4">
        <f>-ROUND(($B$9-(220*0.1))*L6,2)</f>
        <v>-319500</v>
      </c>
    </row>
    <row r="10" spans="1:12" ht="12.75">
      <c r="A10" s="2" t="s">
        <v>90</v>
      </c>
      <c r="B10" s="4"/>
      <c r="C10" s="4">
        <f>-ROUND(C8*0.03,2)</f>
        <v>-16800</v>
      </c>
      <c r="D10" s="4">
        <f aca="true" t="shared" si="1" ref="D10:L10">-ROUND(D8*0.03,2)</f>
        <v>-18900</v>
      </c>
      <c r="E10" s="4">
        <f t="shared" si="1"/>
        <v>-21000</v>
      </c>
      <c r="F10" s="4">
        <f t="shared" si="1"/>
        <v>-27225</v>
      </c>
      <c r="G10" s="4">
        <f t="shared" si="1"/>
        <v>-29700</v>
      </c>
      <c r="H10" s="4">
        <f t="shared" si="1"/>
        <v>-37125</v>
      </c>
      <c r="I10" s="4">
        <f t="shared" si="1"/>
        <v>-37125</v>
      </c>
      <c r="J10" s="4">
        <f t="shared" si="1"/>
        <v>-37125</v>
      </c>
      <c r="K10" s="4">
        <f t="shared" si="1"/>
        <v>-37125</v>
      </c>
      <c r="L10" s="4">
        <f t="shared" si="1"/>
        <v>-37125</v>
      </c>
    </row>
    <row r="11" spans="1:12" ht="12.75">
      <c r="A11" s="2" t="s">
        <v>91</v>
      </c>
      <c r="B11" s="4"/>
      <c r="C11" s="4">
        <v>-10500</v>
      </c>
      <c r="D11" s="4">
        <v>-10500</v>
      </c>
      <c r="E11" s="4">
        <v>-10500</v>
      </c>
      <c r="F11" s="4">
        <v>-10500</v>
      </c>
      <c r="G11" s="4">
        <v>-10500</v>
      </c>
      <c r="H11" s="4">
        <v>-10500</v>
      </c>
      <c r="I11" s="4">
        <v>-10500</v>
      </c>
      <c r="J11" s="4">
        <v>-10500</v>
      </c>
      <c r="K11" s="4">
        <v>-10500</v>
      </c>
      <c r="L11" s="4">
        <v>-10500</v>
      </c>
    </row>
    <row r="12" spans="1:12" ht="12.75">
      <c r="A12" s="2" t="s">
        <v>6</v>
      </c>
      <c r="B12" s="4"/>
      <c r="C12" s="4">
        <v>-44000</v>
      </c>
      <c r="D12" s="4">
        <v>-44000</v>
      </c>
      <c r="E12" s="4">
        <v>-44000</v>
      </c>
      <c r="F12" s="4">
        <v>-44000</v>
      </c>
      <c r="G12" s="4">
        <v>-44000</v>
      </c>
      <c r="H12" s="4">
        <v>-54600</v>
      </c>
      <c r="I12" s="4">
        <v>-54600</v>
      </c>
      <c r="J12" s="4">
        <v>-54600</v>
      </c>
      <c r="K12" s="4">
        <v>-54600</v>
      </c>
      <c r="L12" s="4">
        <v>-54600</v>
      </c>
    </row>
    <row r="13" spans="1:12" ht="12.75">
      <c r="A13" s="2" t="s">
        <v>61</v>
      </c>
      <c r="C13" s="4">
        <v>-12000</v>
      </c>
      <c r="D13" s="4">
        <v>-12000</v>
      </c>
      <c r="E13" s="4">
        <v>-12000</v>
      </c>
      <c r="F13" s="4">
        <v>-12000</v>
      </c>
      <c r="G13" s="4">
        <v>-12000</v>
      </c>
      <c r="H13" s="4">
        <v>-15600</v>
      </c>
      <c r="I13" s="4">
        <v>-15600</v>
      </c>
      <c r="J13" s="4">
        <v>-15600</v>
      </c>
      <c r="K13" s="4">
        <v>-15600</v>
      </c>
      <c r="L13" s="4">
        <v>-15600</v>
      </c>
    </row>
    <row r="14" spans="1:12" ht="12.75">
      <c r="A14" s="2" t="s">
        <v>92</v>
      </c>
      <c r="C14" s="4">
        <f>ROUND($B$25*0.05,2)</f>
        <v>-20000</v>
      </c>
      <c r="D14" s="4">
        <f>ROUND($B$25*0.05,2)</f>
        <v>-20000</v>
      </c>
      <c r="E14" s="4">
        <f>ROUND($B$25*0.05,2)</f>
        <v>-20000</v>
      </c>
      <c r="F14" s="4">
        <f>ROUND($B$25*0.05,2)</f>
        <v>-20000</v>
      </c>
      <c r="G14" s="4">
        <f>ROUND($B$25*0.05,2)</f>
        <v>-20000</v>
      </c>
      <c r="H14" s="4">
        <f>ROUND(($B$25+$G$25)*0.05,2)</f>
        <v>-27500</v>
      </c>
      <c r="I14" s="4">
        <f>ROUND(($B$25+$G$25)*0.05,2)</f>
        <v>-27500</v>
      </c>
      <c r="J14" s="4">
        <f>ROUND(($B$25+$G$25)*0.05,2)</f>
        <v>-27500</v>
      </c>
      <c r="K14" s="4">
        <f>ROUND(($B$25+$G$25)*0.05,2)</f>
        <v>-27500</v>
      </c>
      <c r="L14" s="4">
        <f>ROUND(($B$25+$G$25)*0.05,2)</f>
        <v>-27500</v>
      </c>
    </row>
    <row r="15" spans="1:12" ht="12.75">
      <c r="A15" s="2" t="s">
        <v>93</v>
      </c>
      <c r="C15" s="4">
        <f>ROUND($B$26*0.2,2)</f>
        <v>-60000</v>
      </c>
      <c r="D15" s="4">
        <f>ROUND($B$26*0.2,2)</f>
        <v>-60000</v>
      </c>
      <c r="E15" s="4">
        <f>ROUND($B$26*0.2,2)</f>
        <v>-60000</v>
      </c>
      <c r="F15" s="4">
        <f>ROUND($B$26*0.2,2)</f>
        <v>-60000</v>
      </c>
      <c r="G15" s="4">
        <f>ROUND($B$26*0.2,2)</f>
        <v>-60000</v>
      </c>
      <c r="H15" s="4">
        <f>ROUND($G$26*0.2,2)</f>
        <v>-40000</v>
      </c>
      <c r="I15" s="4">
        <f>ROUND($G$26*0.2,2)</f>
        <v>-40000</v>
      </c>
      <c r="J15" s="4">
        <f>ROUND($G$26*0.2,2)</f>
        <v>-40000</v>
      </c>
      <c r="K15" s="4">
        <f>ROUND($G$26*0.2,2)</f>
        <v>-40000</v>
      </c>
      <c r="L15" s="4">
        <f>ROUND($G$26*0.2,2)</f>
        <v>-40000</v>
      </c>
    </row>
    <row r="16" spans="1:7" ht="12.75">
      <c r="A16" s="2" t="s">
        <v>8</v>
      </c>
      <c r="C16" s="4">
        <f>ROUND($B$28*0.2,2)</f>
        <v>-15000</v>
      </c>
      <c r="D16" s="4">
        <f>ROUND($B$28*0.2,2)</f>
        <v>-15000</v>
      </c>
      <c r="E16" s="4">
        <f>ROUND($B$28*0.2,2)</f>
        <v>-15000</v>
      </c>
      <c r="F16" s="4">
        <f>ROUND($B$28*0.2,2)</f>
        <v>-15000</v>
      </c>
      <c r="G16" s="4">
        <f>ROUND($B$28*0.2,2)</f>
        <v>-15000</v>
      </c>
    </row>
    <row r="17" spans="1:12" ht="13.5" thickBot="1">
      <c r="A17" s="2" t="s">
        <v>9</v>
      </c>
      <c r="C17" s="5">
        <f>-C45</f>
        <v>-108000</v>
      </c>
      <c r="D17" s="5">
        <f>-C46</f>
        <v>-90000</v>
      </c>
      <c r="E17" s="5">
        <f>-C47</f>
        <v>-72000</v>
      </c>
      <c r="F17" s="5">
        <f>-C48</f>
        <v>-54000</v>
      </c>
      <c r="G17" s="5">
        <f>-C49</f>
        <v>-36000</v>
      </c>
      <c r="H17" s="5">
        <f>-C50</f>
        <v>-18000</v>
      </c>
      <c r="I17" s="5"/>
      <c r="J17" s="5"/>
      <c r="K17" s="5"/>
      <c r="L17" s="5"/>
    </row>
    <row r="18" spans="1:12" ht="12.75">
      <c r="A18" s="2" t="s">
        <v>10</v>
      </c>
      <c r="C18" s="4">
        <f aca="true" t="shared" si="2" ref="C18:L18">SUM(C8:C17)</f>
        <v>94500</v>
      </c>
      <c r="D18" s="4">
        <f t="shared" si="2"/>
        <v>158000</v>
      </c>
      <c r="E18" s="4">
        <f t="shared" si="2"/>
        <v>221500</v>
      </c>
      <c r="F18" s="4">
        <f t="shared" si="2"/>
        <v>418375</v>
      </c>
      <c r="G18" s="4">
        <f t="shared" si="2"/>
        <v>494000</v>
      </c>
      <c r="H18" s="4">
        <f t="shared" si="2"/>
        <v>714675</v>
      </c>
      <c r="I18" s="4">
        <f t="shared" si="2"/>
        <v>732675</v>
      </c>
      <c r="J18" s="4">
        <f t="shared" si="2"/>
        <v>732675</v>
      </c>
      <c r="K18" s="4">
        <f t="shared" si="2"/>
        <v>732675</v>
      </c>
      <c r="L18" s="4">
        <f t="shared" si="2"/>
        <v>732675</v>
      </c>
    </row>
    <row r="19" spans="1:12" ht="13.5" thickBot="1">
      <c r="A19" s="2" t="s">
        <v>11</v>
      </c>
      <c r="C19" s="5">
        <f>-ROUND(C18*0.28,2)</f>
        <v>-26460</v>
      </c>
      <c r="D19" s="5">
        <f aca="true" t="shared" si="3" ref="D19:L19">-ROUND(D18*0.28,2)</f>
        <v>-44240</v>
      </c>
      <c r="E19" s="5">
        <f t="shared" si="3"/>
        <v>-62020</v>
      </c>
      <c r="F19" s="5">
        <f t="shared" si="3"/>
        <v>-117145</v>
      </c>
      <c r="G19" s="5">
        <f t="shared" si="3"/>
        <v>-138320</v>
      </c>
      <c r="H19" s="5">
        <f t="shared" si="3"/>
        <v>-200109</v>
      </c>
      <c r="I19" s="5">
        <f t="shared" si="3"/>
        <v>-205149</v>
      </c>
      <c r="J19" s="5">
        <f t="shared" si="3"/>
        <v>-205149</v>
      </c>
      <c r="K19" s="5">
        <f t="shared" si="3"/>
        <v>-205149</v>
      </c>
      <c r="L19" s="5">
        <f t="shared" si="3"/>
        <v>-205149</v>
      </c>
    </row>
    <row r="20" spans="1:12" ht="12.75">
      <c r="A20" s="2" t="s">
        <v>12</v>
      </c>
      <c r="C20" s="4">
        <f aca="true" t="shared" si="4" ref="C20:L20">SUM(C18:C19)</f>
        <v>68040</v>
      </c>
      <c r="D20" s="4">
        <f t="shared" si="4"/>
        <v>113760</v>
      </c>
      <c r="E20" s="4">
        <f t="shared" si="4"/>
        <v>159480</v>
      </c>
      <c r="F20" s="4">
        <f t="shared" si="4"/>
        <v>301230</v>
      </c>
      <c r="G20" s="4">
        <f t="shared" si="4"/>
        <v>355680</v>
      </c>
      <c r="H20" s="4">
        <f t="shared" si="4"/>
        <v>514566</v>
      </c>
      <c r="I20" s="4">
        <f t="shared" si="4"/>
        <v>527526</v>
      </c>
      <c r="J20" s="4">
        <f t="shared" si="4"/>
        <v>527526</v>
      </c>
      <c r="K20" s="4">
        <f t="shared" si="4"/>
        <v>527526</v>
      </c>
      <c r="L20" s="4">
        <f t="shared" si="4"/>
        <v>527526</v>
      </c>
    </row>
    <row r="21" spans="1:12" ht="12.75">
      <c r="A21" s="2" t="s">
        <v>92</v>
      </c>
      <c r="B21" s="4"/>
      <c r="C21" s="4">
        <f>-C14</f>
        <v>20000</v>
      </c>
      <c r="D21" s="4">
        <f aca="true" t="shared" si="5" ref="D21:L22">-D14</f>
        <v>20000</v>
      </c>
      <c r="E21" s="4">
        <f t="shared" si="5"/>
        <v>20000</v>
      </c>
      <c r="F21" s="4">
        <f t="shared" si="5"/>
        <v>20000</v>
      </c>
      <c r="G21" s="4">
        <f t="shared" si="5"/>
        <v>20000</v>
      </c>
      <c r="H21" s="4">
        <f t="shared" si="5"/>
        <v>27500</v>
      </c>
      <c r="I21" s="4">
        <f t="shared" si="5"/>
        <v>27500</v>
      </c>
      <c r="J21" s="4">
        <f t="shared" si="5"/>
        <v>27500</v>
      </c>
      <c r="K21" s="4">
        <f t="shared" si="5"/>
        <v>27500</v>
      </c>
      <c r="L21" s="4">
        <f t="shared" si="5"/>
        <v>27500</v>
      </c>
    </row>
    <row r="22" spans="1:12" ht="12.75">
      <c r="A22" s="2" t="s">
        <v>93</v>
      </c>
      <c r="B22" s="4"/>
      <c r="C22" s="4">
        <f>-C15</f>
        <v>60000</v>
      </c>
      <c r="D22" s="4">
        <f t="shared" si="5"/>
        <v>60000</v>
      </c>
      <c r="E22" s="4">
        <f t="shared" si="5"/>
        <v>60000</v>
      </c>
      <c r="F22" s="4">
        <f t="shared" si="5"/>
        <v>60000</v>
      </c>
      <c r="G22" s="4">
        <f t="shared" si="5"/>
        <v>60000</v>
      </c>
      <c r="H22" s="4">
        <f t="shared" si="5"/>
        <v>40000</v>
      </c>
      <c r="I22" s="4">
        <f t="shared" si="5"/>
        <v>40000</v>
      </c>
      <c r="J22" s="4">
        <f t="shared" si="5"/>
        <v>40000</v>
      </c>
      <c r="K22" s="4">
        <f t="shared" si="5"/>
        <v>40000</v>
      </c>
      <c r="L22" s="4">
        <f t="shared" si="5"/>
        <v>40000</v>
      </c>
    </row>
    <row r="23" spans="1:12" ht="12.75">
      <c r="A23" s="2" t="s">
        <v>8</v>
      </c>
      <c r="B23" s="4"/>
      <c r="C23" s="4">
        <f>-C16</f>
        <v>15000</v>
      </c>
      <c r="D23" s="4">
        <f>-D16</f>
        <v>15000</v>
      </c>
      <c r="E23" s="4">
        <f>-E16</f>
        <v>15000</v>
      </c>
      <c r="F23" s="4">
        <f>-F16</f>
        <v>15000</v>
      </c>
      <c r="G23" s="4">
        <f>-G16</f>
        <v>15000</v>
      </c>
      <c r="H23" s="4"/>
      <c r="I23" s="4"/>
      <c r="J23" s="4"/>
      <c r="K23" s="4"/>
      <c r="L23" s="4"/>
    </row>
    <row r="24" spans="1:2" ht="12.75">
      <c r="A24" s="2" t="s">
        <v>13</v>
      </c>
      <c r="B24" s="4">
        <v>-250000</v>
      </c>
    </row>
    <row r="25" spans="1:7" ht="12.75">
      <c r="A25" s="2" t="s">
        <v>14</v>
      </c>
      <c r="B25" s="4">
        <v>-400000</v>
      </c>
      <c r="C25" s="30"/>
      <c r="D25" s="30"/>
      <c r="E25" s="30"/>
      <c r="G25" s="4">
        <v>-150000</v>
      </c>
    </row>
    <row r="26" spans="1:7" ht="12.75">
      <c r="A26" s="2" t="s">
        <v>94</v>
      </c>
      <c r="B26" s="4">
        <v>-300000</v>
      </c>
      <c r="C26" s="30"/>
      <c r="G26" s="4">
        <v>-200000</v>
      </c>
    </row>
    <row r="27" spans="1:2" ht="12.75">
      <c r="A27" s="2" t="s">
        <v>16</v>
      </c>
      <c r="B27" s="4">
        <v>-100000</v>
      </c>
    </row>
    <row r="28" spans="1:2" ht="12.75">
      <c r="A28" s="2" t="s">
        <v>17</v>
      </c>
      <c r="B28" s="4">
        <v>-75000</v>
      </c>
    </row>
    <row r="29" spans="1:12" ht="12.75">
      <c r="A29" s="2" t="s">
        <v>18</v>
      </c>
      <c r="B29" s="4"/>
      <c r="G29" s="4"/>
      <c r="L29" s="4"/>
    </row>
    <row r="30" spans="1:12" ht="12.75">
      <c r="A30" s="2" t="s">
        <v>95</v>
      </c>
      <c r="B30" s="4"/>
      <c r="G30" s="4"/>
      <c r="L30" s="4">
        <v>755000</v>
      </c>
    </row>
    <row r="31" spans="1:12" ht="12.75">
      <c r="A31" s="2" t="s">
        <v>96</v>
      </c>
      <c r="B31" s="4"/>
      <c r="G31" s="4"/>
      <c r="L31" s="4">
        <v>225000</v>
      </c>
    </row>
    <row r="32" spans="1:2" ht="12.75">
      <c r="A32" s="2" t="s">
        <v>20</v>
      </c>
      <c r="B32" s="4">
        <v>500000</v>
      </c>
    </row>
    <row r="33" spans="1:12" ht="13.5" thickBot="1">
      <c r="A33" s="2" t="s">
        <v>21</v>
      </c>
      <c r="B33" s="5"/>
      <c r="C33" s="5">
        <f>-D45</f>
        <v>-100000</v>
      </c>
      <c r="D33" s="5">
        <f>-D46</f>
        <v>-100000</v>
      </c>
      <c r="E33" s="5">
        <f>-D47</f>
        <v>-100000</v>
      </c>
      <c r="F33" s="5">
        <f>-D48</f>
        <v>-100000</v>
      </c>
      <c r="G33" s="5">
        <f>-D49</f>
        <v>-100000</v>
      </c>
      <c r="H33" s="5">
        <f>-D50</f>
        <v>-100000</v>
      </c>
      <c r="I33" s="8"/>
      <c r="J33" s="8"/>
      <c r="K33" s="8"/>
      <c r="L33" s="5"/>
    </row>
    <row r="34" spans="1:12" ht="12.75">
      <c r="A34" s="2" t="s">
        <v>22</v>
      </c>
      <c r="B34" s="4">
        <f>SUM(B21:B33)</f>
        <v>-625000</v>
      </c>
      <c r="C34" s="4">
        <f aca="true" t="shared" si="6" ref="C34:L34">SUM(C20:C33)</f>
        <v>63040</v>
      </c>
      <c r="D34" s="4">
        <f t="shared" si="6"/>
        <v>108760</v>
      </c>
      <c r="E34" s="4">
        <f t="shared" si="6"/>
        <v>154480</v>
      </c>
      <c r="F34" s="4">
        <f t="shared" si="6"/>
        <v>296230</v>
      </c>
      <c r="G34" s="4">
        <f t="shared" si="6"/>
        <v>680</v>
      </c>
      <c r="H34" s="4">
        <f t="shared" si="6"/>
        <v>482066</v>
      </c>
      <c r="I34" s="4">
        <f t="shared" si="6"/>
        <v>595026</v>
      </c>
      <c r="J34" s="4">
        <f t="shared" si="6"/>
        <v>595026</v>
      </c>
      <c r="K34" s="4">
        <f t="shared" si="6"/>
        <v>595026</v>
      </c>
      <c r="L34" s="4">
        <f t="shared" si="6"/>
        <v>1575026</v>
      </c>
    </row>
    <row r="35" spans="2:12" ht="12.75">
      <c r="B35" s="4">
        <f>ROUND(B34*(1.25^-B5),2)</f>
        <v>-625000</v>
      </c>
      <c r="C35" s="4">
        <f aca="true" t="shared" si="7" ref="C35:L35">ROUND(C34*((1+$B$36)^-C5),2)</f>
        <v>50432</v>
      </c>
      <c r="D35" s="4">
        <f t="shared" si="7"/>
        <v>69606.4</v>
      </c>
      <c r="E35" s="4">
        <f t="shared" si="7"/>
        <v>79093.76</v>
      </c>
      <c r="F35" s="4">
        <f t="shared" si="7"/>
        <v>121335.81</v>
      </c>
      <c r="G35" s="4">
        <f t="shared" si="7"/>
        <v>222.82</v>
      </c>
      <c r="H35" s="4">
        <f t="shared" si="7"/>
        <v>126370.71</v>
      </c>
      <c r="I35" s="4">
        <f t="shared" si="7"/>
        <v>124786</v>
      </c>
      <c r="J35" s="4">
        <f t="shared" si="7"/>
        <v>99828.8</v>
      </c>
      <c r="K35" s="4">
        <f>ROUND(K34*((1+$B$36)^-K5),2)</f>
        <v>79863.04</v>
      </c>
      <c r="L35" s="4">
        <f t="shared" si="7"/>
        <v>169117.13</v>
      </c>
    </row>
    <row r="36" spans="1:2" ht="12.75">
      <c r="A36" s="2" t="s">
        <v>24</v>
      </c>
      <c r="B36" s="6">
        <v>0.25</v>
      </c>
    </row>
    <row r="37" spans="1:2" ht="12.75">
      <c r="A37" s="2" t="s">
        <v>25</v>
      </c>
      <c r="B37" s="4">
        <f>SUM(B35:L35)</f>
        <v>295656.4700000001</v>
      </c>
    </row>
    <row r="38" spans="1:2" ht="12.75">
      <c r="A38" s="10"/>
      <c r="B38" s="7"/>
    </row>
    <row r="39" spans="1:12" ht="13.5" thickBot="1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</row>
    <row r="42" spans="2:5" ht="12.75">
      <c r="B42" s="49" t="s">
        <v>42</v>
      </c>
      <c r="C42" s="49"/>
      <c r="D42" s="49"/>
      <c r="E42" s="49"/>
    </row>
    <row r="43" spans="1:7" ht="12.75">
      <c r="A43" s="12" t="s">
        <v>43</v>
      </c>
      <c r="B43" s="3" t="s">
        <v>67</v>
      </c>
      <c r="C43" s="3" t="s">
        <v>45</v>
      </c>
      <c r="D43" s="3" t="s">
        <v>68</v>
      </c>
      <c r="E43" s="3" t="s">
        <v>69</v>
      </c>
      <c r="G43" s="1"/>
    </row>
    <row r="44" spans="2:5" ht="12.75">
      <c r="B44" s="2" t="s">
        <v>46</v>
      </c>
      <c r="D44" s="4"/>
      <c r="E44" s="4">
        <v>600000</v>
      </c>
    </row>
    <row r="45" spans="1:7" ht="12.75">
      <c r="A45" s="2">
        <v>1</v>
      </c>
      <c r="B45" s="4">
        <f>C45+D45</f>
        <v>208000</v>
      </c>
      <c r="C45" s="4">
        <f>E44*0.18</f>
        <v>108000</v>
      </c>
      <c r="D45" s="4">
        <v>100000</v>
      </c>
      <c r="E45" s="4">
        <f aca="true" t="shared" si="8" ref="E45:E50">E44-D45</f>
        <v>500000</v>
      </c>
      <c r="F45" s="12"/>
      <c r="G45" s="37"/>
    </row>
    <row r="46" spans="1:7" ht="12.75">
      <c r="A46" s="2">
        <v>2</v>
      </c>
      <c r="B46" s="4">
        <f>C46+D46</f>
        <v>190000</v>
      </c>
      <c r="C46" s="4">
        <f>E45*0.18</f>
        <v>90000</v>
      </c>
      <c r="D46" s="4">
        <v>100000</v>
      </c>
      <c r="E46" s="4">
        <f t="shared" si="8"/>
        <v>400000</v>
      </c>
      <c r="G46" s="37"/>
    </row>
    <row r="47" spans="1:5" ht="12.75">
      <c r="A47" s="2">
        <v>3</v>
      </c>
      <c r="B47" s="4">
        <f>C47+D47</f>
        <v>172000</v>
      </c>
      <c r="C47" s="4">
        <f>E46*0.18</f>
        <v>72000</v>
      </c>
      <c r="D47" s="4">
        <v>100000</v>
      </c>
      <c r="E47" s="4">
        <f t="shared" si="8"/>
        <v>300000</v>
      </c>
    </row>
    <row r="48" spans="1:5" ht="12.75">
      <c r="A48" s="2">
        <v>4</v>
      </c>
      <c r="B48" s="4">
        <f>C48+D48</f>
        <v>154000</v>
      </c>
      <c r="C48" s="4">
        <f>E47*0.18</f>
        <v>54000</v>
      </c>
      <c r="D48" s="4">
        <v>100000</v>
      </c>
      <c r="E48" s="4">
        <f t="shared" si="8"/>
        <v>200000</v>
      </c>
    </row>
    <row r="49" spans="1:5" ht="12.75">
      <c r="A49" s="2">
        <v>5</v>
      </c>
      <c r="B49" s="4">
        <f>C49+D49</f>
        <v>136000</v>
      </c>
      <c r="C49" s="4">
        <f>E48*0.18</f>
        <v>36000</v>
      </c>
      <c r="D49" s="4">
        <v>100000</v>
      </c>
      <c r="E49" s="4">
        <f t="shared" si="8"/>
        <v>100000</v>
      </c>
    </row>
    <row r="50" spans="1:5" ht="12.75">
      <c r="A50" s="2">
        <v>6</v>
      </c>
      <c r="B50" s="4">
        <f>C50+D50</f>
        <v>118000</v>
      </c>
      <c r="C50" s="4">
        <f>E49*0.18</f>
        <v>18000</v>
      </c>
      <c r="D50" s="4">
        <v>100000</v>
      </c>
      <c r="E50" s="4">
        <f t="shared" si="8"/>
        <v>0</v>
      </c>
    </row>
    <row r="52" ht="12.75">
      <c r="D52" s="38"/>
    </row>
    <row r="55" spans="1:12" ht="12.75">
      <c r="A55" s="49" t="s">
        <v>26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</row>
    <row r="56" spans="1:12" ht="12.75" customHeight="1">
      <c r="A56" s="49" t="s">
        <v>27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</row>
    <row r="57" spans="1:12" ht="12.75" customHeight="1">
      <c r="A57" s="2" t="s">
        <v>4</v>
      </c>
      <c r="C57" s="4">
        <f aca="true" t="shared" si="9" ref="C57:L57">C8</f>
        <v>560000</v>
      </c>
      <c r="D57" s="4">
        <f t="shared" si="9"/>
        <v>630000</v>
      </c>
      <c r="E57" s="4">
        <f t="shared" si="9"/>
        <v>700000</v>
      </c>
      <c r="F57" s="4">
        <f t="shared" si="9"/>
        <v>907500</v>
      </c>
      <c r="G57" s="4">
        <f t="shared" si="9"/>
        <v>990000</v>
      </c>
      <c r="H57" s="4">
        <f t="shared" si="9"/>
        <v>1237500</v>
      </c>
      <c r="I57" s="4">
        <f t="shared" si="9"/>
        <v>1237500</v>
      </c>
      <c r="J57" s="4">
        <f t="shared" si="9"/>
        <v>1237500</v>
      </c>
      <c r="K57" s="4">
        <f t="shared" si="9"/>
        <v>1237500</v>
      </c>
      <c r="L57" s="4">
        <f t="shared" si="9"/>
        <v>1237500</v>
      </c>
    </row>
    <row r="58" spans="1:2" ht="12.75" customHeight="1">
      <c r="A58" s="2" t="s">
        <v>20</v>
      </c>
      <c r="B58" s="4">
        <f>B32</f>
        <v>500000</v>
      </c>
    </row>
    <row r="59" spans="1:12" ht="12.75" customHeight="1">
      <c r="A59" s="2" t="s">
        <v>28</v>
      </c>
      <c r="G59" s="4"/>
      <c r="L59" s="4">
        <f>L29</f>
        <v>0</v>
      </c>
    </row>
    <row r="60" spans="1:12" ht="12.75" customHeight="1">
      <c r="A60" s="2" t="s">
        <v>97</v>
      </c>
      <c r="G60" s="4"/>
      <c r="L60" s="4">
        <f>L30</f>
        <v>755000</v>
      </c>
    </row>
    <row r="61" spans="1:12" ht="12.75" customHeight="1" thickBot="1">
      <c r="A61" s="2" t="s">
        <v>29</v>
      </c>
      <c r="B61" s="8"/>
      <c r="C61" s="8"/>
      <c r="D61" s="8"/>
      <c r="E61" s="8"/>
      <c r="F61" s="8"/>
      <c r="G61" s="5"/>
      <c r="H61" s="8"/>
      <c r="I61" s="8"/>
      <c r="J61" s="8"/>
      <c r="K61" s="8"/>
      <c r="L61" s="5">
        <f>L31</f>
        <v>225000</v>
      </c>
    </row>
    <row r="62" spans="1:12" ht="12.75" customHeight="1">
      <c r="A62" s="2" t="s">
        <v>30</v>
      </c>
      <c r="B62" s="4">
        <f>SUM(B57:B61)</f>
        <v>500000</v>
      </c>
      <c r="C62" s="4">
        <f aca="true" t="shared" si="10" ref="C62:L62">SUM(C57:C61)</f>
        <v>560000</v>
      </c>
      <c r="D62" s="4">
        <f t="shared" si="10"/>
        <v>630000</v>
      </c>
      <c r="E62" s="4">
        <f t="shared" si="10"/>
        <v>700000</v>
      </c>
      <c r="F62" s="4">
        <f t="shared" si="10"/>
        <v>907500</v>
      </c>
      <c r="G62" s="4">
        <f t="shared" si="10"/>
        <v>990000</v>
      </c>
      <c r="H62" s="4">
        <f t="shared" si="10"/>
        <v>1237500</v>
      </c>
      <c r="I62" s="4">
        <f t="shared" si="10"/>
        <v>1237500</v>
      </c>
      <c r="J62" s="4">
        <f t="shared" si="10"/>
        <v>1237500</v>
      </c>
      <c r="K62" s="4">
        <f t="shared" si="10"/>
        <v>1237500</v>
      </c>
      <c r="L62" s="4">
        <f t="shared" si="10"/>
        <v>2217500</v>
      </c>
    </row>
    <row r="63" spans="1:12" ht="12.75" customHeight="1">
      <c r="A63" s="2" t="s">
        <v>31</v>
      </c>
      <c r="B63" s="4">
        <f aca="true" t="shared" si="11" ref="B63:L63">ROUND(B62*((1+$B$36)^-B5),2)</f>
        <v>500000</v>
      </c>
      <c r="C63" s="4">
        <f t="shared" si="11"/>
        <v>448000</v>
      </c>
      <c r="D63" s="4">
        <f t="shared" si="11"/>
        <v>403200</v>
      </c>
      <c r="E63" s="4">
        <f t="shared" si="11"/>
        <v>358400</v>
      </c>
      <c r="F63" s="4">
        <f t="shared" si="11"/>
        <v>371712</v>
      </c>
      <c r="G63" s="4">
        <f t="shared" si="11"/>
        <v>324403.2</v>
      </c>
      <c r="H63" s="4">
        <f t="shared" si="11"/>
        <v>324403.2</v>
      </c>
      <c r="I63" s="4">
        <f t="shared" si="11"/>
        <v>259522.56</v>
      </c>
      <c r="J63" s="4">
        <f t="shared" si="11"/>
        <v>207618.05</v>
      </c>
      <c r="K63" s="4">
        <f t="shared" si="11"/>
        <v>166094.44</v>
      </c>
      <c r="L63" s="4">
        <f t="shared" si="11"/>
        <v>238102.25</v>
      </c>
    </row>
    <row r="64" spans="1:12" ht="12.75" customHeight="1">
      <c r="A64" s="10" t="s">
        <v>32</v>
      </c>
      <c r="G64" s="4"/>
      <c r="L64" s="11">
        <f>SUM(B63:L63)</f>
        <v>3601455.7</v>
      </c>
    </row>
    <row r="65" ht="12.75" customHeight="1">
      <c r="G65" s="4"/>
    </row>
    <row r="66" spans="1:12" ht="12.75" customHeight="1">
      <c r="A66" s="49" t="s">
        <v>33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</row>
    <row r="67" spans="1:12" ht="12.75" customHeight="1">
      <c r="A67" s="2" t="s">
        <v>5</v>
      </c>
      <c r="C67" s="4">
        <f aca="true" t="shared" si="12" ref="C67:L71">-C9</f>
        <v>179200</v>
      </c>
      <c r="D67" s="4">
        <f t="shared" si="12"/>
        <v>201600</v>
      </c>
      <c r="E67" s="4">
        <f t="shared" si="12"/>
        <v>224000</v>
      </c>
      <c r="F67" s="4">
        <f t="shared" si="12"/>
        <v>246400</v>
      </c>
      <c r="G67" s="4">
        <f t="shared" si="12"/>
        <v>268800</v>
      </c>
      <c r="H67" s="4">
        <f t="shared" si="12"/>
        <v>319500</v>
      </c>
      <c r="I67" s="4">
        <f t="shared" si="12"/>
        <v>319500</v>
      </c>
      <c r="J67" s="4">
        <f t="shared" si="12"/>
        <v>319500</v>
      </c>
      <c r="K67" s="4">
        <f t="shared" si="12"/>
        <v>319500</v>
      </c>
      <c r="L67" s="4">
        <f t="shared" si="12"/>
        <v>319500</v>
      </c>
    </row>
    <row r="68" spans="1:12" ht="12.75" customHeight="1">
      <c r="A68" s="2" t="s">
        <v>66</v>
      </c>
      <c r="C68" s="4">
        <f t="shared" si="12"/>
        <v>16800</v>
      </c>
      <c r="D68" s="4">
        <f t="shared" si="12"/>
        <v>18900</v>
      </c>
      <c r="E68" s="4">
        <f t="shared" si="12"/>
        <v>21000</v>
      </c>
      <c r="F68" s="4">
        <f t="shared" si="12"/>
        <v>27225</v>
      </c>
      <c r="G68" s="4">
        <f t="shared" si="12"/>
        <v>29700</v>
      </c>
      <c r="H68" s="4">
        <f t="shared" si="12"/>
        <v>37125</v>
      </c>
      <c r="I68" s="4">
        <f t="shared" si="12"/>
        <v>37125</v>
      </c>
      <c r="J68" s="4">
        <f t="shared" si="12"/>
        <v>37125</v>
      </c>
      <c r="K68" s="4">
        <f t="shared" si="12"/>
        <v>37125</v>
      </c>
      <c r="L68" s="4">
        <f t="shared" si="12"/>
        <v>37125</v>
      </c>
    </row>
    <row r="69" spans="1:12" ht="12.75" customHeight="1">
      <c r="A69" s="2" t="s">
        <v>98</v>
      </c>
      <c r="C69" s="4">
        <f t="shared" si="12"/>
        <v>10500</v>
      </c>
      <c r="D69" s="4">
        <f t="shared" si="12"/>
        <v>10500</v>
      </c>
      <c r="E69" s="4">
        <f t="shared" si="12"/>
        <v>10500</v>
      </c>
      <c r="F69" s="4">
        <f t="shared" si="12"/>
        <v>10500</v>
      </c>
      <c r="G69" s="4">
        <f t="shared" si="12"/>
        <v>10500</v>
      </c>
      <c r="H69" s="4">
        <f t="shared" si="12"/>
        <v>10500</v>
      </c>
      <c r="I69" s="4">
        <f t="shared" si="12"/>
        <v>10500</v>
      </c>
      <c r="J69" s="4">
        <f t="shared" si="12"/>
        <v>10500</v>
      </c>
      <c r="K69" s="4">
        <f t="shared" si="12"/>
        <v>10500</v>
      </c>
      <c r="L69" s="4">
        <f t="shared" si="12"/>
        <v>10500</v>
      </c>
    </row>
    <row r="70" spans="1:12" ht="12.75" customHeight="1">
      <c r="A70" s="2" t="s">
        <v>6</v>
      </c>
      <c r="C70" s="4">
        <f t="shared" si="12"/>
        <v>44000</v>
      </c>
      <c r="D70" s="4">
        <f t="shared" si="12"/>
        <v>44000</v>
      </c>
      <c r="E70" s="4">
        <f t="shared" si="12"/>
        <v>44000</v>
      </c>
      <c r="F70" s="4">
        <f t="shared" si="12"/>
        <v>44000</v>
      </c>
      <c r="G70" s="4">
        <f t="shared" si="12"/>
        <v>44000</v>
      </c>
      <c r="H70" s="4">
        <f t="shared" si="12"/>
        <v>54600</v>
      </c>
      <c r="I70" s="4">
        <f t="shared" si="12"/>
        <v>54600</v>
      </c>
      <c r="J70" s="4">
        <f t="shared" si="12"/>
        <v>54600</v>
      </c>
      <c r="K70" s="4">
        <f t="shared" si="12"/>
        <v>54600</v>
      </c>
      <c r="L70" s="4">
        <f t="shared" si="12"/>
        <v>54600</v>
      </c>
    </row>
    <row r="71" spans="1:12" ht="12.75" customHeight="1">
      <c r="A71" s="2" t="s">
        <v>61</v>
      </c>
      <c r="C71" s="4">
        <f>-C13</f>
        <v>12000</v>
      </c>
      <c r="D71" s="4">
        <f t="shared" si="12"/>
        <v>12000</v>
      </c>
      <c r="E71" s="4">
        <f t="shared" si="12"/>
        <v>12000</v>
      </c>
      <c r="F71" s="4">
        <f t="shared" si="12"/>
        <v>12000</v>
      </c>
      <c r="G71" s="4">
        <f t="shared" si="12"/>
        <v>12000</v>
      </c>
      <c r="H71" s="4">
        <f t="shared" si="12"/>
        <v>15600</v>
      </c>
      <c r="I71" s="4">
        <f t="shared" si="12"/>
        <v>15600</v>
      </c>
      <c r="J71" s="4">
        <f t="shared" si="12"/>
        <v>15600</v>
      </c>
      <c r="K71" s="4">
        <f t="shared" si="12"/>
        <v>15600</v>
      </c>
      <c r="L71" s="4">
        <f t="shared" si="12"/>
        <v>15600</v>
      </c>
    </row>
    <row r="72" spans="1:12" ht="12.75" customHeight="1">
      <c r="A72" s="2" t="s">
        <v>34</v>
      </c>
      <c r="C72" s="4">
        <f aca="true" t="shared" si="13" ref="C72:L72">-C17</f>
        <v>108000</v>
      </c>
      <c r="D72" s="4">
        <f t="shared" si="13"/>
        <v>90000</v>
      </c>
      <c r="E72" s="4">
        <f t="shared" si="13"/>
        <v>72000</v>
      </c>
      <c r="F72" s="4">
        <f t="shared" si="13"/>
        <v>54000</v>
      </c>
      <c r="G72" s="4">
        <f t="shared" si="13"/>
        <v>36000</v>
      </c>
      <c r="H72" s="4">
        <f t="shared" si="13"/>
        <v>18000</v>
      </c>
      <c r="I72" s="4">
        <f t="shared" si="13"/>
        <v>0</v>
      </c>
      <c r="J72" s="4">
        <f t="shared" si="13"/>
        <v>0</v>
      </c>
      <c r="K72" s="4">
        <f t="shared" si="13"/>
        <v>0</v>
      </c>
      <c r="L72" s="4">
        <f t="shared" si="13"/>
        <v>0</v>
      </c>
    </row>
    <row r="73" spans="1:12" ht="12.75" customHeight="1">
      <c r="A73" s="2" t="s">
        <v>35</v>
      </c>
      <c r="C73" s="4">
        <f aca="true" t="shared" si="14" ref="C73:L73">-C19</f>
        <v>26460</v>
      </c>
      <c r="D73" s="4">
        <f t="shared" si="14"/>
        <v>44240</v>
      </c>
      <c r="E73" s="4">
        <f t="shared" si="14"/>
        <v>62020</v>
      </c>
      <c r="F73" s="4">
        <f t="shared" si="14"/>
        <v>117145</v>
      </c>
      <c r="G73" s="4">
        <f t="shared" si="14"/>
        <v>138320</v>
      </c>
      <c r="H73" s="4">
        <f t="shared" si="14"/>
        <v>200109</v>
      </c>
      <c r="I73" s="4">
        <f t="shared" si="14"/>
        <v>205149</v>
      </c>
      <c r="J73" s="4">
        <f t="shared" si="14"/>
        <v>205149</v>
      </c>
      <c r="K73" s="4">
        <f t="shared" si="14"/>
        <v>205149</v>
      </c>
      <c r="L73" s="4">
        <f t="shared" si="14"/>
        <v>205149</v>
      </c>
    </row>
    <row r="74" spans="1:7" ht="12.75" customHeight="1">
      <c r="A74" s="2" t="s">
        <v>15</v>
      </c>
      <c r="B74" s="4">
        <f>-SUM(B24:B26)</f>
        <v>950000</v>
      </c>
      <c r="G74" s="4">
        <f>-SUM(G24:G26)</f>
        <v>350000</v>
      </c>
    </row>
    <row r="75" spans="1:2" ht="12.75" customHeight="1">
      <c r="A75" s="2" t="s">
        <v>17</v>
      </c>
      <c r="B75" s="4">
        <f>-B28</f>
        <v>75000</v>
      </c>
    </row>
    <row r="76" spans="1:2" ht="12.75" customHeight="1">
      <c r="A76" s="2" t="s">
        <v>36</v>
      </c>
      <c r="B76" s="4">
        <f>-B27</f>
        <v>100000</v>
      </c>
    </row>
    <row r="77" spans="1:12" ht="12.75" customHeight="1" thickBot="1">
      <c r="A77" s="2" t="s">
        <v>37</v>
      </c>
      <c r="B77" s="8"/>
      <c r="C77" s="5">
        <f aca="true" t="shared" si="15" ref="C77:K77">-C33</f>
        <v>100000</v>
      </c>
      <c r="D77" s="5">
        <f t="shared" si="15"/>
        <v>100000</v>
      </c>
      <c r="E77" s="5">
        <f t="shared" si="15"/>
        <v>100000</v>
      </c>
      <c r="F77" s="5">
        <f t="shared" si="15"/>
        <v>100000</v>
      </c>
      <c r="G77" s="5">
        <f t="shared" si="15"/>
        <v>100000</v>
      </c>
      <c r="H77" s="5">
        <f t="shared" si="15"/>
        <v>100000</v>
      </c>
      <c r="I77" s="5">
        <f t="shared" si="15"/>
        <v>0</v>
      </c>
      <c r="J77" s="5">
        <f t="shared" si="15"/>
        <v>0</v>
      </c>
      <c r="K77" s="5">
        <f t="shared" si="15"/>
        <v>0</v>
      </c>
      <c r="L77" s="5">
        <f>-L33</f>
        <v>0</v>
      </c>
    </row>
    <row r="78" spans="1:12" ht="12.75" customHeight="1">
      <c r="A78" s="2" t="s">
        <v>38</v>
      </c>
      <c r="B78" s="4">
        <f aca="true" t="shared" si="16" ref="B78:G78">SUM(B67:B77)</f>
        <v>1125000</v>
      </c>
      <c r="C78" s="4">
        <f t="shared" si="16"/>
        <v>496960</v>
      </c>
      <c r="D78" s="4">
        <f t="shared" si="16"/>
        <v>521240</v>
      </c>
      <c r="E78" s="4">
        <f t="shared" si="16"/>
        <v>545520</v>
      </c>
      <c r="F78" s="4">
        <f t="shared" si="16"/>
        <v>611270</v>
      </c>
      <c r="G78" s="4">
        <f t="shared" si="16"/>
        <v>989320</v>
      </c>
      <c r="H78" s="4">
        <f>SUM(H67:H77)</f>
        <v>755434</v>
      </c>
      <c r="I78" s="4">
        <f>SUM(I67:I77)</f>
        <v>642474</v>
      </c>
      <c r="J78" s="4">
        <f>SUM(J67:J77)</f>
        <v>642474</v>
      </c>
      <c r="K78" s="4">
        <f>SUM(K67:K77)</f>
        <v>642474</v>
      </c>
      <c r="L78" s="4">
        <f>SUM(L67:L77)</f>
        <v>642474</v>
      </c>
    </row>
    <row r="79" spans="1:12" ht="12.75" customHeight="1">
      <c r="A79" s="2" t="s">
        <v>39</v>
      </c>
      <c r="B79" s="4">
        <f aca="true" t="shared" si="17" ref="B79:L79">ROUND(B78*((1+$B$36)^-B5),2)</f>
        <v>1125000</v>
      </c>
      <c r="C79" s="4">
        <f t="shared" si="17"/>
        <v>397568</v>
      </c>
      <c r="D79" s="4">
        <f t="shared" si="17"/>
        <v>333593.6</v>
      </c>
      <c r="E79" s="4">
        <f t="shared" si="17"/>
        <v>279306.24</v>
      </c>
      <c r="F79" s="4">
        <f t="shared" si="17"/>
        <v>250376.19</v>
      </c>
      <c r="G79" s="4">
        <f t="shared" si="17"/>
        <v>324180.38</v>
      </c>
      <c r="H79" s="4">
        <f t="shared" si="17"/>
        <v>198032.49</v>
      </c>
      <c r="I79" s="4">
        <f t="shared" si="17"/>
        <v>134736.56</v>
      </c>
      <c r="J79" s="4">
        <f t="shared" si="17"/>
        <v>107789.25</v>
      </c>
      <c r="K79" s="4">
        <f t="shared" si="17"/>
        <v>86231.4</v>
      </c>
      <c r="L79" s="4">
        <f t="shared" si="17"/>
        <v>68985.12</v>
      </c>
    </row>
    <row r="80" spans="1:12" ht="12.75" customHeight="1">
      <c r="A80" s="10" t="s">
        <v>40</v>
      </c>
      <c r="G80" s="4"/>
      <c r="L80" s="11">
        <f>SUM(B79:L79)</f>
        <v>3305799.2299999995</v>
      </c>
    </row>
    <row r="81" spans="1:4" ht="12.75" customHeight="1">
      <c r="A81" s="10" t="s">
        <v>41</v>
      </c>
      <c r="B81" s="4">
        <f>L64</f>
        <v>3601455.7</v>
      </c>
      <c r="C81" s="4">
        <f>L80</f>
        <v>3305799.2299999995</v>
      </c>
      <c r="D81" s="10">
        <f>B81/C81</f>
        <v>1.0894357005461583</v>
      </c>
    </row>
    <row r="82" ht="12.75" customHeight="1"/>
    <row r="83" ht="12.75" customHeight="1"/>
    <row r="84" ht="12.75" customHeight="1"/>
    <row r="85" ht="12.75" customHeight="1"/>
    <row r="86" spans="1:9" ht="12.75" customHeight="1">
      <c r="A86" s="52" t="s">
        <v>47</v>
      </c>
      <c r="B86" s="52"/>
      <c r="C86" s="52"/>
      <c r="D86" s="52"/>
      <c r="E86" s="52"/>
      <c r="F86" s="52"/>
      <c r="G86" s="52"/>
      <c r="H86" s="52"/>
      <c r="I86" s="52"/>
    </row>
    <row r="87" ht="12.75" customHeight="1"/>
    <row r="88" ht="12.75" customHeight="1" thickBot="1"/>
    <row r="89" spans="1:9" ht="12.75" customHeight="1" thickBot="1">
      <c r="A89" s="13" t="s">
        <v>48</v>
      </c>
      <c r="B89" s="53">
        <v>0.25</v>
      </c>
      <c r="C89" s="54"/>
      <c r="D89" s="53">
        <v>0.3</v>
      </c>
      <c r="E89" s="54"/>
      <c r="F89" s="53">
        <v>0.35</v>
      </c>
      <c r="G89" s="54"/>
      <c r="H89" s="53"/>
      <c r="I89" s="54"/>
    </row>
    <row r="90" spans="1:9" ht="12.75" customHeight="1">
      <c r="A90" s="14">
        <f>B34</f>
        <v>-625000</v>
      </c>
      <c r="B90" s="15">
        <f>1.25^0</f>
        <v>1</v>
      </c>
      <c r="C90" s="16">
        <f>B90*A90</f>
        <v>-625000</v>
      </c>
      <c r="D90" s="15">
        <f>1.3^0</f>
        <v>1</v>
      </c>
      <c r="E90" s="16">
        <f>D90*A90</f>
        <v>-625000</v>
      </c>
      <c r="F90" s="15">
        <f>1.35^0</f>
        <v>1</v>
      </c>
      <c r="G90" s="16">
        <f>F90*A90</f>
        <v>-625000</v>
      </c>
      <c r="H90" s="15"/>
      <c r="I90" s="16"/>
    </row>
    <row r="91" spans="1:9" ht="12.75" customHeight="1">
      <c r="A91" s="17">
        <f>C34</f>
        <v>63040</v>
      </c>
      <c r="B91" s="18">
        <f>1.25^-1</f>
        <v>0.8</v>
      </c>
      <c r="C91" s="16">
        <f aca="true" t="shared" si="18" ref="C91:C100">B91*A91</f>
        <v>50432</v>
      </c>
      <c r="D91" s="18">
        <f>1.3^-1</f>
        <v>0.7692307692307692</v>
      </c>
      <c r="E91" s="16">
        <f aca="true" t="shared" si="19" ref="E91:E100">D91*A91</f>
        <v>48492.30769230769</v>
      </c>
      <c r="F91" s="15">
        <f>1.35^-1</f>
        <v>0.7407407407407407</v>
      </c>
      <c r="G91" s="16">
        <f aca="true" t="shared" si="20" ref="G91:G100">F91*A91</f>
        <v>46696.29629629629</v>
      </c>
      <c r="H91" s="15"/>
      <c r="I91" s="16"/>
    </row>
    <row r="92" spans="1:9" ht="12.75" customHeight="1">
      <c r="A92" s="19">
        <f>D34</f>
        <v>108760</v>
      </c>
      <c r="B92" s="18">
        <f>1.25^-2</f>
        <v>0.64</v>
      </c>
      <c r="C92" s="16">
        <f t="shared" si="18"/>
        <v>69606.4</v>
      </c>
      <c r="D92" s="18">
        <f>1.3^-2</f>
        <v>0.5917159763313609</v>
      </c>
      <c r="E92" s="16">
        <f t="shared" si="19"/>
        <v>64355.02958579881</v>
      </c>
      <c r="F92" s="15">
        <f>1.35^-2</f>
        <v>0.5486968449931412</v>
      </c>
      <c r="G92" s="16">
        <f t="shared" si="20"/>
        <v>59676.26886145404</v>
      </c>
      <c r="H92" s="15"/>
      <c r="I92" s="16"/>
    </row>
    <row r="93" spans="1:9" ht="12.75" customHeight="1">
      <c r="A93" s="19">
        <f>E34</f>
        <v>154480</v>
      </c>
      <c r="B93" s="18">
        <f>1.25^-3</f>
        <v>0.512</v>
      </c>
      <c r="C93" s="16">
        <f t="shared" si="18"/>
        <v>79093.76</v>
      </c>
      <c r="D93" s="18">
        <f>1.3^-3</f>
        <v>0.4551661356395083</v>
      </c>
      <c r="E93" s="16">
        <f t="shared" si="19"/>
        <v>70314.06463359125</v>
      </c>
      <c r="F93" s="15">
        <f>1.35^-3</f>
        <v>0.40644210740232684</v>
      </c>
      <c r="G93" s="16">
        <f t="shared" si="20"/>
        <v>62787.17675151145</v>
      </c>
      <c r="H93" s="15"/>
      <c r="I93" s="16"/>
    </row>
    <row r="94" spans="1:9" ht="12.75" customHeight="1">
      <c r="A94" s="19">
        <f>F34</f>
        <v>296230</v>
      </c>
      <c r="B94" s="15">
        <f>1.25^-4</f>
        <v>0.4096</v>
      </c>
      <c r="C94" s="16">
        <f t="shared" si="18"/>
        <v>121335.808</v>
      </c>
      <c r="D94" s="15">
        <f>1.3^-4</f>
        <v>0.35012779664577565</v>
      </c>
      <c r="E94" s="16">
        <f t="shared" si="19"/>
        <v>103718.35720037812</v>
      </c>
      <c r="F94" s="15">
        <f>1.35^-4</f>
        <v>0.30106822770542724</v>
      </c>
      <c r="G94" s="16">
        <f t="shared" si="20"/>
        <v>89185.44109317871</v>
      </c>
      <c r="H94" s="15"/>
      <c r="I94" s="16"/>
    </row>
    <row r="95" spans="1:9" ht="12.75" customHeight="1">
      <c r="A95" s="39">
        <f>G34</f>
        <v>680</v>
      </c>
      <c r="B95" s="18">
        <f>1.25^-5</f>
        <v>0.32768</v>
      </c>
      <c r="C95" s="16">
        <f t="shared" si="18"/>
        <v>222.82240000000002</v>
      </c>
      <c r="D95" s="18">
        <f>1.3^-5</f>
        <v>0.2693290743429043</v>
      </c>
      <c r="E95" s="16">
        <f t="shared" si="19"/>
        <v>183.14377055317493</v>
      </c>
      <c r="F95" s="15">
        <f>1.35^-5</f>
        <v>0.22301350200402015</v>
      </c>
      <c r="G95" s="16">
        <f t="shared" si="20"/>
        <v>151.6491813627337</v>
      </c>
      <c r="H95" s="15"/>
      <c r="I95" s="16"/>
    </row>
    <row r="96" spans="1:9" ht="12.75" customHeight="1">
      <c r="A96" s="39">
        <f>H34</f>
        <v>482066</v>
      </c>
      <c r="B96" s="18">
        <f>1.25^-6</f>
        <v>0.262144</v>
      </c>
      <c r="C96" s="16">
        <f t="shared" si="18"/>
        <v>126370.709504</v>
      </c>
      <c r="D96" s="18">
        <f>1.3^-6</f>
        <v>0.2071762110330033</v>
      </c>
      <c r="E96" s="16">
        <f t="shared" si="19"/>
        <v>99872.60734783577</v>
      </c>
      <c r="F96" s="15">
        <f>1.35^-6</f>
        <v>0.16519518666964456</v>
      </c>
      <c r="G96" s="16">
        <f t="shared" si="20"/>
        <v>79634.98285708888</v>
      </c>
      <c r="H96" s="15"/>
      <c r="I96" s="16"/>
    </row>
    <row r="97" spans="1:9" ht="12.75" customHeight="1">
      <c r="A97" s="39">
        <f>I34</f>
        <v>595026</v>
      </c>
      <c r="B97" s="18">
        <f>1.25^-7</f>
        <v>0.2097152</v>
      </c>
      <c r="C97" s="16">
        <f t="shared" si="18"/>
        <v>124785.99659519999</v>
      </c>
      <c r="D97" s="18">
        <f>1.3^-7</f>
        <v>0.1593663161792333</v>
      </c>
      <c r="E97" s="16">
        <f t="shared" si="19"/>
        <v>94827.10165086447</v>
      </c>
      <c r="F97" s="15">
        <f>1.35^-7</f>
        <v>0.12236680494047744</v>
      </c>
      <c r="G97" s="16">
        <f t="shared" si="20"/>
        <v>72811.43047651253</v>
      </c>
      <c r="H97" s="15"/>
      <c r="I97" s="16"/>
    </row>
    <row r="98" spans="1:9" ht="12.75" customHeight="1">
      <c r="A98" s="39">
        <f>J34</f>
        <v>595026</v>
      </c>
      <c r="B98" s="15">
        <f>1.25^-8</f>
        <v>0.16777216</v>
      </c>
      <c r="C98" s="16">
        <f t="shared" si="18"/>
        <v>99828.79727616</v>
      </c>
      <c r="D98" s="15">
        <f>1.3^-8</f>
        <v>0.12258947398402563</v>
      </c>
      <c r="E98" s="16">
        <f t="shared" si="19"/>
        <v>72943.92434681884</v>
      </c>
      <c r="F98" s="15">
        <f>1.35^-8</f>
        <v>0.09064207773368699</v>
      </c>
      <c r="G98" s="16">
        <f t="shared" si="20"/>
        <v>53934.39294556483</v>
      </c>
      <c r="H98" s="15"/>
      <c r="I98" s="16"/>
    </row>
    <row r="99" spans="1:9" ht="12.75" customHeight="1">
      <c r="A99" s="39">
        <f>K34</f>
        <v>595026</v>
      </c>
      <c r="B99" s="18">
        <f>1.25^-9</f>
        <v>0.134217728</v>
      </c>
      <c r="C99" s="16">
        <f t="shared" si="18"/>
        <v>79863.037820928</v>
      </c>
      <c r="D99" s="18">
        <f>1.3^-9</f>
        <v>0.0942995953723274</v>
      </c>
      <c r="E99" s="16">
        <f t="shared" si="19"/>
        <v>56110.71103601449</v>
      </c>
      <c r="F99" s="15">
        <f>1.35^-9</f>
        <v>0.0671422798027311</v>
      </c>
      <c r="G99" s="16">
        <f t="shared" si="20"/>
        <v>39951.40218189988</v>
      </c>
      <c r="H99" s="15"/>
      <c r="I99" s="16"/>
    </row>
    <row r="100" spans="1:9" ht="12.75" customHeight="1" thickBot="1">
      <c r="A100" s="39">
        <f>L34</f>
        <v>1575026</v>
      </c>
      <c r="B100" s="18">
        <f>1.25^-10</f>
        <v>0.1073741824</v>
      </c>
      <c r="C100" s="16">
        <f t="shared" si="18"/>
        <v>169117.1290087424</v>
      </c>
      <c r="D100" s="18">
        <f>1.3^-10</f>
        <v>0.07253815028640569</v>
      </c>
      <c r="E100" s="16">
        <f t="shared" si="19"/>
        <v>114249.47269299641</v>
      </c>
      <c r="F100" s="15">
        <f>1.35^-10</f>
        <v>0.049735022076097105</v>
      </c>
      <c r="G100" s="16">
        <f t="shared" si="20"/>
        <v>78333.95288042692</v>
      </c>
      <c r="H100" s="15"/>
      <c r="I100" s="16"/>
    </row>
    <row r="101" spans="1:9" ht="12.75" customHeight="1" thickBot="1" thickTop="1">
      <c r="A101" s="23" t="s">
        <v>49</v>
      </c>
      <c r="B101" s="24"/>
      <c r="C101" s="25">
        <f>SUM(C90:C100)</f>
        <v>295656.4606050304</v>
      </c>
      <c r="D101" s="24"/>
      <c r="E101" s="35">
        <f>SUM(E90:E100)</f>
        <v>100066.71995715906</v>
      </c>
      <c r="F101" s="24"/>
      <c r="G101" s="35">
        <f>SUM(G90:G100)</f>
        <v>-41837.006474703754</v>
      </c>
      <c r="H101" s="24"/>
      <c r="I101" s="35"/>
    </row>
    <row r="102" spans="1:9" ht="12.75" customHeight="1" thickTop="1">
      <c r="A102" s="15"/>
      <c r="B102" s="15"/>
      <c r="C102" s="15"/>
      <c r="D102" s="15"/>
      <c r="E102" s="15"/>
      <c r="F102" s="15"/>
      <c r="G102" s="16"/>
      <c r="H102" s="15"/>
      <c r="I102" s="16"/>
    </row>
    <row r="103" ht="12.75" customHeight="1">
      <c r="D103" s="40"/>
    </row>
    <row r="104" spans="1:6" ht="12.75" customHeight="1" thickBot="1">
      <c r="A104" s="12" t="s">
        <v>50</v>
      </c>
      <c r="B104" s="27">
        <v>30</v>
      </c>
      <c r="C104" s="3" t="s">
        <v>84</v>
      </c>
      <c r="D104" s="51">
        <f>E101</f>
        <v>100066.71995715906</v>
      </c>
      <c r="E104" s="51"/>
      <c r="F104" s="28"/>
    </row>
    <row r="105" spans="2:5" ht="12.75" customHeight="1">
      <c r="B105" s="27"/>
      <c r="D105" s="29">
        <f>D104</f>
        <v>100066.71995715906</v>
      </c>
      <c r="E105" s="29">
        <f>G101</f>
        <v>-41837.006474703754</v>
      </c>
    </row>
    <row r="106" ht="12.75" customHeight="1">
      <c r="B106" s="27"/>
    </row>
    <row r="107" spans="1:4" ht="12.75" customHeight="1">
      <c r="A107" s="12" t="s">
        <v>50</v>
      </c>
      <c r="B107" s="27">
        <f>B104</f>
        <v>30</v>
      </c>
      <c r="C107" s="27">
        <v>5</v>
      </c>
      <c r="D107" s="30">
        <f>D104</f>
        <v>100066.71995715906</v>
      </c>
    </row>
    <row r="108" spans="2:4" ht="12.75" customHeight="1">
      <c r="B108" s="27"/>
      <c r="D108" s="30">
        <f>D105-E105</f>
        <v>141903.7264318628</v>
      </c>
    </row>
    <row r="109" ht="12.75" customHeight="1">
      <c r="B109" s="27"/>
    </row>
    <row r="110" spans="1:3" ht="12.75" customHeight="1">
      <c r="A110" s="12" t="str">
        <f>A107</f>
        <v>TIR=</v>
      </c>
      <c r="B110" s="27">
        <f>B107</f>
        <v>30</v>
      </c>
      <c r="C110" s="2">
        <f>C107*(D107/D108)</f>
        <v>3.5258665319549447</v>
      </c>
    </row>
    <row r="111" ht="12.75" customHeight="1">
      <c r="D111" s="10"/>
    </row>
    <row r="112" spans="1:8" ht="12.75" customHeight="1">
      <c r="A112" s="31" t="str">
        <f>A110</f>
        <v>TIR=</v>
      </c>
      <c r="B112" s="32">
        <f>B110+C110</f>
        <v>33.52586653195495</v>
      </c>
      <c r="C112" s="2" t="s">
        <v>52</v>
      </c>
      <c r="D112" s="55"/>
      <c r="E112" s="55"/>
      <c r="F112" s="55"/>
      <c r="G112" s="55"/>
      <c r="H112" s="55"/>
    </row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</sheetData>
  <sheetProtection/>
  <mergeCells count="15">
    <mergeCell ref="D104:E104"/>
    <mergeCell ref="D112:H112"/>
    <mergeCell ref="A66:L66"/>
    <mergeCell ref="A86:I86"/>
    <mergeCell ref="B89:C89"/>
    <mergeCell ref="D89:E89"/>
    <mergeCell ref="F89:G89"/>
    <mergeCell ref="H89:I89"/>
    <mergeCell ref="A4:L4"/>
    <mergeCell ref="B42:E42"/>
    <mergeCell ref="A55:L55"/>
    <mergeCell ref="A56:L56"/>
    <mergeCell ref="A1:L1"/>
    <mergeCell ref="A2:L2"/>
    <mergeCell ref="A3:L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Anibal</cp:lastModifiedBy>
  <dcterms:created xsi:type="dcterms:W3CDTF">2010-10-26T19:01:31Z</dcterms:created>
  <dcterms:modified xsi:type="dcterms:W3CDTF">2014-09-13T22:28:51Z</dcterms:modified>
  <cp:category/>
  <cp:version/>
  <cp:contentType/>
  <cp:contentStatus/>
</cp:coreProperties>
</file>